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55" windowWidth="11100" windowHeight="5505" activeTab="0"/>
  </bookViews>
  <sheets>
    <sheet name="Прил.№1" sheetId="1" r:id="rId1"/>
    <sheet name="Прил.№2" sheetId="2" r:id="rId2"/>
    <sheet name="Прил.№3" sheetId="3" r:id="rId3"/>
  </sheets>
  <definedNames>
    <definedName name="_xlnm.Print_Titles" localSheetId="0">'Прил.№1'!$9:$11</definedName>
    <definedName name="_xlnm.Print_Area" localSheetId="1">'Прил.№2'!$A$1:$K$97</definedName>
    <definedName name="_xlnm.Print_Area" localSheetId="2">'Прил.№3'!$A$1:$K$97</definedName>
  </definedNames>
  <calcPr fullCalcOnLoad="1"/>
</workbook>
</file>

<file path=xl/sharedStrings.xml><?xml version="1.0" encoding="utf-8"?>
<sst xmlns="http://schemas.openxmlformats.org/spreadsheetml/2006/main" count="398" uniqueCount="240">
  <si>
    <t>Приложение 1</t>
  </si>
  <si>
    <t>к решению областного совета</t>
  </si>
  <si>
    <t>Доходы областного бюджета на 2003 год</t>
  </si>
  <si>
    <t>тыс.гривен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</si>
  <si>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</si>
  <si>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</si>
  <si>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</si>
  <si>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</si>
  <si>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Всего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</si>
  <si>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</si>
  <si>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</si>
  <si>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</si>
  <si>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</si>
  <si>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</si>
  <si>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Подоходный налог с граждан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</si>
  <si>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</si>
  <si>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</si>
  <si>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</si>
  <si>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</si>
  <si>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</si>
  <si>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</si>
  <si>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</si>
  <si>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</si>
  <si>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</si>
  <si>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</si>
  <si>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</si>
  <si>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</si>
  <si>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</si>
  <si>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</si>
  <si>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</si>
  <si>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</si>
  <si>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 xml:space="preserve"> Плата за аренду целостных имущественных комплексов коммунального  и другого имущества </t>
  </si>
  <si>
    <t>Поступления от штрафов и финансовых санкций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</si>
  <si>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</si>
  <si>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Административные штрафы и другие санкции</t>
  </si>
  <si>
    <t>Другие неналоговые поступления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</si>
  <si>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</si>
  <si>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</si>
  <si>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</si>
  <si>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</si>
  <si>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Целевые фонды</t>
  </si>
  <si>
    <t>Сбор за загрязнение окружающей природной среды</t>
  </si>
  <si>
    <t xml:space="preserve">Целевые фонды созданные Верховным Советом Автономной Республики Крым, органами местного самоуправления и местными органами исполнительной власти </t>
  </si>
  <si>
    <t>Итого доходов</t>
  </si>
  <si>
    <t>Официальные трансферты</t>
  </si>
  <si>
    <t>Субвенции</t>
  </si>
  <si>
    <t>От правительств зарубежных стран  и международных организаций</t>
  </si>
  <si>
    <t xml:space="preserve">Гранты (подарки), которые поступили в бюджеты всех уровней </t>
  </si>
  <si>
    <t>Субвенция из государственного бюджета на строительство и приобретение жилья военнослужащим</t>
  </si>
  <si>
    <t>Средства, полученные из общего  фонда бюджета   в бюджет развития (специального фонда)</t>
  </si>
  <si>
    <t>Всего доходов</t>
  </si>
  <si>
    <t>Приложение 2</t>
  </si>
  <si>
    <t>Расходы областного бюджета на 2003 год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</si>
  <si>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</si>
  <si>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</si>
  <si>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</si>
  <si>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</si>
  <si>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</si>
  <si>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</si>
  <si>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</si>
  <si>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</si>
  <si>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</si>
  <si>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</si>
  <si>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</si>
  <si>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</si>
  <si>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</si>
  <si>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</si>
  <si>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</si>
  <si>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</si>
  <si>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</si>
  <si>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</si>
  <si>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</si>
  <si>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</si>
  <si>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060100</t>
  </si>
  <si>
    <t>Органы внутренних дел</t>
  </si>
  <si>
    <t>060103</t>
  </si>
  <si>
    <t>Подразделения дорожно-патрульной службы и дорожного надзора</t>
  </si>
  <si>
    <t>060700</t>
  </si>
  <si>
    <t>Пожарная охрана</t>
  </si>
  <si>
    <t>061000</t>
  </si>
  <si>
    <t>Прочие правоохранительные органы</t>
  </si>
  <si>
    <t>061002</t>
  </si>
  <si>
    <t>Специализированные монтажно-эксплуатационные подразделения</t>
  </si>
  <si>
    <t>061003</t>
  </si>
  <si>
    <t>Адресно-справочные бюро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</si>
  <si>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</si>
  <si>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</si>
  <si>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</si>
  <si>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</si>
  <si>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</si>
  <si>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</si>
  <si>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</si>
  <si>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</si>
  <si>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090401</t>
  </si>
  <si>
    <t xml:space="preserve">Адресная социальная помощь малообеспеченным семьям 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</si>
  <si>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</si>
  <si>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</si>
  <si>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</si>
  <si>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</si>
  <si>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</si>
  <si>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инвалидами I или II группы вследствие психического расстройства</t>
  </si>
  <si>
    <t>090600</t>
  </si>
  <si>
    <t>090601 090901  091210</t>
  </si>
  <si>
    <t>Дома-интернаты для малолетних инвалидов, дома-интернаты для престарелых и инвалидов, служба технадзора</t>
  </si>
  <si>
    <t>091100 091211</t>
  </si>
  <si>
    <t>Социальные программы и мероприятия в сфере семьи, женщин, молодежи и детей</t>
  </si>
  <si>
    <t>091101 091102</t>
  </si>
  <si>
    <t>в т.ч. содержание, программы и мероприятия центра социальных служб для молодежи</t>
  </si>
  <si>
    <t>091207</t>
  </si>
  <si>
    <t>Льготы, предоставляемые населению (кроме ветеранов войны и труда) на оплату жилищно-коммунальных услуг и природного газа</t>
  </si>
  <si>
    <t>091209</t>
  </si>
  <si>
    <t>Финансовая поддержка общественных организаций инвалидов и ветеранов</t>
  </si>
  <si>
    <t>091210</t>
  </si>
  <si>
    <t>091212</t>
  </si>
  <si>
    <t>Центр по начислению и выплате пенсий и пособий</t>
  </si>
  <si>
    <t>090416</t>
  </si>
  <si>
    <t xml:space="preserve">Прочие расходы на соцзащиту ветеранов войны и труда </t>
  </si>
  <si>
    <t>090700</t>
  </si>
  <si>
    <t>Приюты для несовершеннолетних</t>
  </si>
  <si>
    <t>Жилищно-коммунальное хозяйство</t>
  </si>
  <si>
    <t>в т.ч. расходы на содержание объектов социальной сферы предприятий, которыепередаються в коммунальную собственность</t>
  </si>
  <si>
    <t>Водопроводно-канализационное хозяйство (программа)</t>
  </si>
  <si>
    <t>Благоустройство городов</t>
  </si>
  <si>
    <t>Культура и искусство</t>
  </si>
  <si>
    <t>Искусство</t>
  </si>
  <si>
    <t>110200   110500</t>
  </si>
  <si>
    <t>Культура                                               Прочие мероприятия и учреждения в отрасли искусства и культуры</t>
  </si>
  <si>
    <t>Кинематография</t>
  </si>
  <si>
    <t>Средства массовой информации</t>
  </si>
  <si>
    <t>Телевидение и радиовещание</t>
  </si>
  <si>
    <t>Периодические издания (газеты и журналы)</t>
  </si>
  <si>
    <t>Книгоиздательство</t>
  </si>
  <si>
    <t>Издательства</t>
  </si>
  <si>
    <t>Физкультура и спорт</t>
  </si>
  <si>
    <t>Строительство</t>
  </si>
  <si>
    <t>Капитальные вложения</t>
  </si>
  <si>
    <t>Строительство и приобретение жилья для военнослужащих</t>
  </si>
  <si>
    <t>Архитектура</t>
  </si>
  <si>
    <t>Сельское лесное хозяйство, рыбное хозяйство и промыслы</t>
  </si>
  <si>
    <t>Программы в отрасли сельского хозяйства, лесного хозяйства, рыбаловства и промысла</t>
  </si>
  <si>
    <t>Транспорт, дорожное хозяйство, связь, телекоммуникации и информатика</t>
  </si>
  <si>
    <t>Автомобильный транспорт</t>
  </si>
  <si>
    <t>Местный автомобильный транспорт</t>
  </si>
  <si>
    <t>Другие виды транспорта</t>
  </si>
  <si>
    <t>Городской  электротранспорт</t>
  </si>
  <si>
    <t>Дорожное хозяйство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</si>
  <si>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</si>
  <si>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</si>
  <si>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</si>
  <si>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180409</t>
  </si>
  <si>
    <t xml:space="preserve">Взносы органов власти Автономной Республики Крым и органов местного самоупраувления в уставные фонды субъектов предпринимательской деятельности </t>
  </si>
  <si>
    <t>Другие мероприятия, связанные с экономической деятельностью</t>
  </si>
  <si>
    <t>Охрана и рациональное использование земель</t>
  </si>
  <si>
    <t>Предупреждение и ликвидация чрезвычайных ситуаций и последствий стихийного бедствия</t>
  </si>
  <si>
    <t>Обслуживание долга</t>
  </si>
  <si>
    <t>Фонд охраны окружающей природной среды</t>
  </si>
  <si>
    <t>Охрана и рациональное использование природных ресурсов</t>
  </si>
  <si>
    <t>Утилизация отходов</t>
  </si>
  <si>
    <t>Ликвидация проченго загрязнения окружающей природной среды</t>
  </si>
  <si>
    <t>Другая деятельность в сфере окружающей природной среды</t>
  </si>
  <si>
    <t>Целевые фонды созданные органами местного самоуправления и местными органами исполнительной власти</t>
  </si>
  <si>
    <t>Резервный фонд</t>
  </si>
  <si>
    <t>Проведение выборов депутатов местных советов</t>
  </si>
  <si>
    <t>Другие расходы</t>
  </si>
  <si>
    <t xml:space="preserve">Прочие расходы  </t>
  </si>
  <si>
    <t>И Т О Г О   Р А С Х О Д О В:</t>
  </si>
  <si>
    <t>Расходы за счет субвенции из государственного бюджета</t>
  </si>
  <si>
    <t>250309</t>
  </si>
  <si>
    <t>Средства передаваемые по взаимным расчетам между местными бюджетами</t>
  </si>
  <si>
    <t>Средства, передаваемые из общего фонда бюджета в бюджет развития</t>
  </si>
  <si>
    <t>Средства, передаваемые в Государственный бюджет</t>
  </si>
  <si>
    <t>Прочие субвенции</t>
  </si>
  <si>
    <t>Возврат бюджетных ссуд</t>
  </si>
  <si>
    <t>В С Е Г О   Р А С Х О Д О В:</t>
  </si>
  <si>
    <t xml:space="preserve"> </t>
  </si>
  <si>
    <t>Приложение 3</t>
  </si>
  <si>
    <t xml:space="preserve">              Распределение расходов областного бюджета на 2003 год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</si>
  <si>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</si>
  <si>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</si>
  <si>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</si>
  <si>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</si>
  <si>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</si>
  <si>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Стипендии одаренным студентам III и IV уровней аккредитации</t>
  </si>
  <si>
    <t>130000</t>
  </si>
  <si>
    <t>Учреждения физкультуры и спорта, проведение учебно-тренировочных сборов и соревнований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</si>
  <si>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</si>
  <si>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</si>
  <si>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</si>
  <si>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</si>
  <si>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>Стипендии одаренным учащимся, студентам и аспирантам</t>
  </si>
  <si>
    <t>070701</t>
  </si>
  <si>
    <t>Центр переподготовки и повышения квалификации государственных служащих и руководителей предприятий</t>
  </si>
  <si>
    <t xml:space="preserve">Управление здравоохранения </t>
  </si>
  <si>
    <t>Лечебно-профилактические учреждения</t>
  </si>
  <si>
    <t>Региональные программы и совместные мероприятия</t>
  </si>
  <si>
    <t>Реализация государственных программ</t>
  </si>
  <si>
    <t xml:space="preserve">Высшие учреждения образования І-ІІ уровня аккредитации; прочие учреждения и мероприятия последипломного образования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</si>
  <si>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</si>
  <si>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</si>
  <si>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</si>
  <si>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090601 090901 091210</t>
  </si>
  <si>
    <t>Прочие расходы на социальную защиту ветеранов войны и труда</t>
  </si>
  <si>
    <t xml:space="preserve">Служба по делам несовершеннолетних </t>
  </si>
  <si>
    <t xml:space="preserve">091100 091211 110502  070401 </t>
  </si>
  <si>
    <t>Управление по делам семьи, молодежи и туризма</t>
  </si>
  <si>
    <t xml:space="preserve">Управление жилищно-коммунального хозяйства </t>
  </si>
  <si>
    <t>100105</t>
  </si>
  <si>
    <t xml:space="preserve">Управление культуры облгосадминистрации </t>
  </si>
  <si>
    <t>110102     110103</t>
  </si>
  <si>
    <t xml:space="preserve">Театры, филармонии, музыкальные коллективы и ансамбли и прочие мероприятия и учреждения по исскуству  </t>
  </si>
  <si>
    <t>110200  110500</t>
  </si>
  <si>
    <t xml:space="preserve">Культура                                         Прочие мероприятия и учреждения в области исскуства и культуры  </t>
  </si>
  <si>
    <t>Высшие учреждения образования І-ІІ уровня аккредитации; прочие учреждения  образования</t>
  </si>
  <si>
    <t>Стипендии одаренным учащимся и студентам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</si>
  <si>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</si>
  <si>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</si>
  <si>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5,6,7 томов книги "Памяти фронтовиков"</t>
  </si>
  <si>
    <t xml:space="preserve">Управление по делам прессы и информации </t>
  </si>
  <si>
    <t xml:space="preserve">Управление по вопросам физической культуры и спорта </t>
  </si>
  <si>
    <t>Высшее училище олимпийского резерва</t>
  </si>
  <si>
    <t>Главное управление сельского хозяйства и продовольствия</t>
  </si>
  <si>
    <t>Управление по вопросам чрезвычайных ситуаций и по делам защиты от последствий Чернобыльской катастрофы</t>
  </si>
  <si>
    <t xml:space="preserve">Главное управление экономики </t>
  </si>
  <si>
    <t>Главное финансовое управление</t>
  </si>
  <si>
    <t>200200</t>
  </si>
  <si>
    <t>240600</t>
  </si>
  <si>
    <t>Фонд окружающей природной среды</t>
  </si>
  <si>
    <t>250404</t>
  </si>
  <si>
    <t>250350</t>
  </si>
  <si>
    <t xml:space="preserve"> Расходы, не отнесенные к основным  группам</t>
  </si>
  <si>
    <t>120300</t>
  </si>
  <si>
    <t>Финасовая поддержка на издание юбилейного выпуска журнала "Донбасс"</t>
  </si>
  <si>
    <t>Дополнительная дотация из государственного бюджета местным бюджетам на уменьшение фактичесих диспропорций между местными бюджетами из-за неравномерности сети бюджетных учреждений</t>
  </si>
  <si>
    <t>Дополнительная дотация из государственного бюджета местным бюджетам на обеспечение выполнения норм Закона Украины "Об установлении размера минимальной заработной платы на 2003 год"</t>
  </si>
  <si>
    <t>Субвенция из государственного бюджета местным бюджетам на выполнение инвестиционных проектов</t>
  </si>
  <si>
    <t>Субвенция на выполнение собственных полномочий территориальных громад сел, поселков, городов и их объединений</t>
  </si>
  <si>
    <t>Дополнительная дотация из государственного бюджета местным бюджетам на уменьшение фактичесих диспропорций между местными бюджетами в связи с неравномерностью сети бюджетных учреждений</t>
  </si>
  <si>
    <t xml:space="preserve"> Поступления от размещения  в учреждениях банков временно свободных бюджетных  средств </t>
  </si>
  <si>
    <t xml:space="preserve">Редакционная группа "Реабилитированные историей" </t>
  </si>
  <si>
    <t>120201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</si>
</sst>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1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 shrinkToFit="1"/>
    </xf>
    <xf numFmtId="172" fontId="2" fillId="0" borderId="5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wrapText="1" shrinkToFit="1"/>
    </xf>
    <xf numFmtId="172" fontId="2" fillId="0" borderId="5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 shrinkToFit="1"/>
    </xf>
    <xf numFmtId="172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wrapText="1" shrinkToFit="1"/>
    </xf>
    <xf numFmtId="172" fontId="6" fillId="0" borderId="5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wrapText="1" shrinkToFit="1"/>
    </xf>
    <xf numFmtId="172" fontId="8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shrinkToFit="1"/>
    </xf>
    <xf numFmtId="172" fontId="1" fillId="0" borderId="0" xfId="0" applyNumberFormat="1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172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172" fontId="2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172" fontId="5" fillId="0" borderId="6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72" fontId="2" fillId="2" borderId="6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72" fontId="2" fillId="0" borderId="6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/>
    </xf>
    <xf numFmtId="49" fontId="2" fillId="0" borderId="5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49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right" vertical="top"/>
    </xf>
    <xf numFmtId="0" fontId="10" fillId="0" borderId="6" xfId="0" applyNumberFormat="1" applyFont="1" applyFill="1" applyBorder="1" applyAlignment="1">
      <alignment horizontal="left" vertical="center" wrapText="1"/>
    </xf>
    <xf numFmtId="172" fontId="10" fillId="0" borderId="6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72" fontId="9" fillId="0" borderId="5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172" fontId="9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5" xfId="0" applyFont="1" applyFill="1" applyBorder="1" applyAlignment="1">
      <alignment horizontal="left" vertical="center" wrapText="1"/>
    </xf>
    <xf numFmtId="172" fontId="14" fillId="0" borderId="6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72" fontId="10" fillId="0" borderId="5" xfId="0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vertical="center" wrapText="1"/>
    </xf>
    <xf numFmtId="172" fontId="10" fillId="0" borderId="5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Continuous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Continuous" vertical="center" wrapText="1"/>
    </xf>
    <xf numFmtId="0" fontId="9" fillId="0" borderId="5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172" fontId="9" fillId="0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49" fontId="10" fillId="0" borderId="5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172" fontId="15" fillId="0" borderId="6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5" xfId="0" applyFont="1" applyBorder="1" applyAlignment="1">
      <alignment horizontal="left" wrapText="1" shrinkToFit="1"/>
    </xf>
    <xf numFmtId="0" fontId="9" fillId="0" borderId="5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65" zoomScaleNormal="65" zoomScaleSheetLayoutView="65" workbookViewId="0" topLeftCell="A47">
      <selection activeCell="C57" sqref="C57"/>
    </sheetView>
  </sheetViews>
  <sheetFormatPr defaultColWidth="9.00390625" defaultRowHeight="12.75"/>
  <cols>
    <col min="1" max="1" width="10.75390625" style="1" customWidth="1"/>
    <col min="2" max="2" width="31.00390625" style="3" customWidth="1"/>
    <col min="3" max="3" width="10.00390625" style="1" customWidth="1"/>
    <col min="4" max="4" width="16.125" style="1" customWidth="1"/>
    <col min="5" max="5" width="9.875" style="1" customWidth="1"/>
    <col min="6" max="6" width="14.75390625" style="1" customWidth="1"/>
    <col min="7" max="16384" width="9.125" style="1" customWidth="1"/>
  </cols>
  <sheetData>
    <row r="1" spans="2:5" ht="12.75">
      <c r="B1" s="1"/>
      <c r="E1" s="2" t="s">
        <v>0</v>
      </c>
    </row>
    <row r="2" ht="12.75">
      <c r="E2" s="2" t="s">
        <v>1</v>
      </c>
    </row>
    <row r="3" spans="5:6" ht="14.25" customHeight="1">
      <c r="E3" s="175"/>
      <c r="F3" s="175"/>
    </row>
    <row r="4" ht="3.75" customHeight="1" hidden="1"/>
    <row r="5" spans="3:6" ht="15" customHeight="1">
      <c r="C5" s="4" t="s">
        <v>2</v>
      </c>
      <c r="D5" s="5"/>
      <c r="E5" s="5"/>
      <c r="F5" s="5"/>
    </row>
    <row r="6" ht="12.75" customHeight="1">
      <c r="F6" s="6" t="s">
        <v>3</v>
      </c>
    </row>
    <row r="7" ht="3.75" customHeight="1" thickBot="1"/>
    <row r="8" ht="12" customHeight="1" hidden="1"/>
    <row r="9" spans="1:6" ht="13.5" thickBot="1">
      <c r="A9" s="176" t="s">
        <v>4</v>
      </c>
      <c r="B9" s="178" t="s">
        <v>5</v>
      </c>
      <c r="C9" s="180" t="s">
        <v>6</v>
      </c>
      <c r="D9" s="7" t="s">
        <v>7</v>
      </c>
      <c r="E9" s="8"/>
      <c r="F9" s="182" t="s">
        <v>8</v>
      </c>
    </row>
    <row r="10" spans="1:6" ht="39" thickBot="1">
      <c r="A10" s="177"/>
      <c r="B10" s="179"/>
      <c r="C10" s="181"/>
      <c r="D10" s="94" t="s">
        <v>8</v>
      </c>
      <c r="E10" s="95" t="s">
        <v>9</v>
      </c>
      <c r="F10" s="183"/>
    </row>
    <row r="11" spans="1:6" ht="13.5" thickBot="1">
      <c r="A11" s="9">
        <v>1</v>
      </c>
      <c r="B11" s="10">
        <v>2</v>
      </c>
      <c r="C11" s="11">
        <v>3</v>
      </c>
      <c r="D11" s="11">
        <v>4</v>
      </c>
      <c r="E11" s="11">
        <v>5</v>
      </c>
      <c r="F11" s="11" t="s">
        <v>10</v>
      </c>
    </row>
    <row r="12" spans="1:7" s="17" customFormat="1" ht="12.75">
      <c r="A12" s="12">
        <v>10000000</v>
      </c>
      <c r="B12" s="13" t="s">
        <v>11</v>
      </c>
      <c r="C12" s="14">
        <f>C13+C19+C21</f>
        <v>473489.10000000003</v>
      </c>
      <c r="D12" s="14">
        <f>D17+D21</f>
        <v>27817.1</v>
      </c>
      <c r="E12" s="14" t="s">
        <v>12</v>
      </c>
      <c r="F12" s="15">
        <f>C12+D12</f>
        <v>501306.2</v>
      </c>
      <c r="G12" s="16"/>
    </row>
    <row r="13" spans="1:6" ht="38.25">
      <c r="A13" s="18">
        <v>11000000</v>
      </c>
      <c r="B13" s="19" t="s">
        <v>13</v>
      </c>
      <c r="C13" s="20">
        <f>C14+C15</f>
        <v>395959.10000000003</v>
      </c>
      <c r="D13" s="20" t="s">
        <v>12</v>
      </c>
      <c r="E13" s="20" t="s">
        <v>12</v>
      </c>
      <c r="F13" s="20">
        <f>F14+F15</f>
        <v>395959.10000000003</v>
      </c>
    </row>
    <row r="14" spans="1:6" ht="12.75">
      <c r="A14" s="18">
        <v>11010000</v>
      </c>
      <c r="B14" s="19" t="s">
        <v>14</v>
      </c>
      <c r="C14" s="21">
        <f>362371.6+1615.7+9070.1+128.9+1754.7+800+3358.4+76+1141.6+10530.8-2650+400+4874.4+1986.9</f>
        <v>395459.10000000003</v>
      </c>
      <c r="D14" s="20" t="s">
        <v>12</v>
      </c>
      <c r="E14" s="20" t="s">
        <v>12</v>
      </c>
      <c r="F14" s="20">
        <f>C14</f>
        <v>395459.10000000003</v>
      </c>
    </row>
    <row r="15" spans="1:6" ht="12.75">
      <c r="A15" s="18">
        <v>11020000</v>
      </c>
      <c r="B15" s="19" t="s">
        <v>15</v>
      </c>
      <c r="C15" s="20">
        <f>C16</f>
        <v>500</v>
      </c>
      <c r="D15" s="20" t="s">
        <v>12</v>
      </c>
      <c r="E15" s="20" t="s">
        <v>12</v>
      </c>
      <c r="F15" s="20">
        <f>C15</f>
        <v>500</v>
      </c>
    </row>
    <row r="16" spans="1:6" ht="38.25">
      <c r="A16" s="18">
        <v>11020200</v>
      </c>
      <c r="B16" s="19" t="s">
        <v>16</v>
      </c>
      <c r="C16" s="21">
        <f>7500+643.3+1300+350-3426.4+0.1-5867</f>
        <v>500</v>
      </c>
      <c r="D16" s="20" t="s">
        <v>12</v>
      </c>
      <c r="E16" s="20" t="s">
        <v>12</v>
      </c>
      <c r="F16" s="20">
        <f>C16</f>
        <v>500</v>
      </c>
    </row>
    <row r="17" spans="1:6" ht="12.75">
      <c r="A17" s="18">
        <v>12000000</v>
      </c>
      <c r="B17" s="19" t="s">
        <v>17</v>
      </c>
      <c r="C17" s="20" t="s">
        <v>12</v>
      </c>
      <c r="D17" s="20">
        <f>D18</f>
        <v>26567.1</v>
      </c>
      <c r="E17" s="20" t="s">
        <v>12</v>
      </c>
      <c r="F17" s="20">
        <f>F18</f>
        <v>26567.1</v>
      </c>
    </row>
    <row r="18" spans="1:6" ht="38.25">
      <c r="A18" s="18">
        <v>12020000</v>
      </c>
      <c r="B18" s="19" t="s">
        <v>18</v>
      </c>
      <c r="C18" s="20" t="s">
        <v>12</v>
      </c>
      <c r="D18" s="21">
        <v>26567.1</v>
      </c>
      <c r="E18" s="20" t="s">
        <v>12</v>
      </c>
      <c r="F18" s="20">
        <v>26567.1</v>
      </c>
    </row>
    <row r="19" spans="1:6" ht="25.5">
      <c r="A19" s="18">
        <v>13000000</v>
      </c>
      <c r="B19" s="19" t="s">
        <v>19</v>
      </c>
      <c r="C19" s="20">
        <f>C20</f>
        <v>62200</v>
      </c>
      <c r="D19" s="20" t="s">
        <v>12</v>
      </c>
      <c r="E19" s="20" t="s">
        <v>12</v>
      </c>
      <c r="F19" s="20">
        <f>F20</f>
        <v>61000</v>
      </c>
    </row>
    <row r="20" spans="1:6" ht="12.75">
      <c r="A20" s="18">
        <v>13050000</v>
      </c>
      <c r="B20" s="19" t="s">
        <v>20</v>
      </c>
      <c r="C20" s="21">
        <f>61000+1000+200</f>
        <v>62200</v>
      </c>
      <c r="D20" s="20" t="s">
        <v>12</v>
      </c>
      <c r="E20" s="20" t="s">
        <v>12</v>
      </c>
      <c r="F20" s="20">
        <v>61000</v>
      </c>
    </row>
    <row r="21" spans="1:6" ht="13.5" customHeight="1">
      <c r="A21" s="18">
        <v>14000000</v>
      </c>
      <c r="B21" s="19" t="s">
        <v>21</v>
      </c>
      <c r="C21" s="20">
        <f>C22+C23+C24</f>
        <v>15330</v>
      </c>
      <c r="D21" s="20">
        <f>D25</f>
        <v>1250</v>
      </c>
      <c r="E21" s="20" t="s">
        <v>12</v>
      </c>
      <c r="F21" s="20">
        <f>C21+D21</f>
        <v>16580</v>
      </c>
    </row>
    <row r="22" spans="1:6" ht="25.5">
      <c r="A22" s="18">
        <v>14060200</v>
      </c>
      <c r="B22" s="19" t="s">
        <v>22</v>
      </c>
      <c r="C22" s="21">
        <v>300</v>
      </c>
      <c r="D22" s="20" t="s">
        <v>12</v>
      </c>
      <c r="E22" s="20" t="s">
        <v>12</v>
      </c>
      <c r="F22" s="20">
        <f>C22</f>
        <v>300</v>
      </c>
    </row>
    <row r="23" spans="1:6" ht="38.25">
      <c r="A23" s="18">
        <v>14060300</v>
      </c>
      <c r="B23" s="19" t="s">
        <v>23</v>
      </c>
      <c r="C23" s="21">
        <v>30</v>
      </c>
      <c r="D23" s="20" t="s">
        <v>12</v>
      </c>
      <c r="E23" s="20" t="s">
        <v>12</v>
      </c>
      <c r="F23" s="20">
        <f>C23</f>
        <v>30</v>
      </c>
    </row>
    <row r="24" spans="1:6" ht="38.25">
      <c r="A24" s="18">
        <v>14061100</v>
      </c>
      <c r="B24" s="19" t="s">
        <v>24</v>
      </c>
      <c r="C24" s="21">
        <f>13000+2000</f>
        <v>15000</v>
      </c>
      <c r="D24" s="20" t="s">
        <v>12</v>
      </c>
      <c r="E24" s="20" t="s">
        <v>12</v>
      </c>
      <c r="F24" s="20">
        <f>C24</f>
        <v>15000</v>
      </c>
    </row>
    <row r="25" spans="1:6" ht="38.25">
      <c r="A25" s="18">
        <v>14070000</v>
      </c>
      <c r="B25" s="19" t="s">
        <v>25</v>
      </c>
      <c r="C25" s="20" t="s">
        <v>12</v>
      </c>
      <c r="D25" s="20">
        <f>D26</f>
        <v>1250</v>
      </c>
      <c r="E25" s="20" t="s">
        <v>12</v>
      </c>
      <c r="F25" s="20">
        <f>F26</f>
        <v>1250</v>
      </c>
    </row>
    <row r="26" spans="1:6" ht="63.75">
      <c r="A26" s="18">
        <v>14071500</v>
      </c>
      <c r="B26" s="19" t="s">
        <v>26</v>
      </c>
      <c r="C26" s="20" t="s">
        <v>12</v>
      </c>
      <c r="D26" s="21">
        <v>1250</v>
      </c>
      <c r="E26" s="20" t="s">
        <v>12</v>
      </c>
      <c r="F26" s="20">
        <f>D26</f>
        <v>1250</v>
      </c>
    </row>
    <row r="27" spans="1:6" s="17" customFormat="1" ht="12.75">
      <c r="A27" s="12">
        <v>20000000</v>
      </c>
      <c r="B27" s="13" t="s">
        <v>27</v>
      </c>
      <c r="C27" s="14">
        <f>C28+C31+C33+C36</f>
        <v>5860.6</v>
      </c>
      <c r="D27" s="14">
        <f>D30+D40</f>
        <v>17232.3</v>
      </c>
      <c r="E27" s="14" t="s">
        <v>12</v>
      </c>
      <c r="F27" s="14">
        <f>C27+D27</f>
        <v>23092.9</v>
      </c>
    </row>
    <row r="28" spans="1:6" ht="25.5">
      <c r="A28" s="18">
        <v>21000000</v>
      </c>
      <c r="B28" s="19" t="s">
        <v>28</v>
      </c>
      <c r="C28" s="20">
        <f>C29</f>
        <v>3500</v>
      </c>
      <c r="D28" s="20" t="s">
        <v>12</v>
      </c>
      <c r="E28" s="20" t="s">
        <v>12</v>
      </c>
      <c r="F28" s="20">
        <f>C28</f>
        <v>3500</v>
      </c>
    </row>
    <row r="29" spans="1:6" ht="38.25">
      <c r="A29" s="18">
        <v>21040000</v>
      </c>
      <c r="B29" s="19" t="s">
        <v>237</v>
      </c>
      <c r="C29" s="20">
        <f>1500+500+1500</f>
        <v>3500</v>
      </c>
      <c r="D29" s="20" t="s">
        <v>12</v>
      </c>
      <c r="E29" s="20" t="s">
        <v>12</v>
      </c>
      <c r="F29" s="20">
        <f>C29</f>
        <v>3500</v>
      </c>
    </row>
    <row r="30" spans="1:6" ht="38.25">
      <c r="A30" s="18">
        <v>21110000</v>
      </c>
      <c r="B30" s="19" t="s">
        <v>29</v>
      </c>
      <c r="C30" s="20" t="s">
        <v>12</v>
      </c>
      <c r="D30" s="20">
        <v>742.9</v>
      </c>
      <c r="E30" s="20" t="s">
        <v>12</v>
      </c>
      <c r="F30" s="20">
        <f>D30</f>
        <v>742.9</v>
      </c>
    </row>
    <row r="31" spans="1:6" ht="51">
      <c r="A31" s="18">
        <v>22000000</v>
      </c>
      <c r="B31" s="19" t="s">
        <v>30</v>
      </c>
      <c r="C31" s="20">
        <f>C32</f>
        <v>750.3</v>
      </c>
      <c r="D31" s="20" t="s">
        <v>12</v>
      </c>
      <c r="E31" s="20" t="s">
        <v>12</v>
      </c>
      <c r="F31" s="20">
        <f>C31</f>
        <v>750.3</v>
      </c>
    </row>
    <row r="32" spans="1:6" ht="38.25" customHeight="1">
      <c r="A32" s="18">
        <v>22080000</v>
      </c>
      <c r="B32" s="22" t="s">
        <v>31</v>
      </c>
      <c r="C32" s="21">
        <v>750.3</v>
      </c>
      <c r="D32" s="20" t="s">
        <v>12</v>
      </c>
      <c r="E32" s="20" t="s">
        <v>12</v>
      </c>
      <c r="F32" s="20">
        <f>C32</f>
        <v>750.3</v>
      </c>
    </row>
    <row r="33" spans="1:6" ht="25.5">
      <c r="A33" s="18">
        <v>23000000</v>
      </c>
      <c r="B33" s="19" t="s">
        <v>32</v>
      </c>
      <c r="C33" s="20">
        <v>111</v>
      </c>
      <c r="D33" s="20" t="s">
        <v>12</v>
      </c>
      <c r="E33" s="20" t="s">
        <v>12</v>
      </c>
      <c r="F33" s="20">
        <f>C33</f>
        <v>111</v>
      </c>
    </row>
    <row r="34" spans="1:6" ht="127.5" hidden="1">
      <c r="A34" s="18">
        <v>23020000</v>
      </c>
      <c r="B34" s="19" t="s">
        <v>33</v>
      </c>
      <c r="C34" s="23" t="s">
        <v>12</v>
      </c>
      <c r="D34" s="23" t="s">
        <v>12</v>
      </c>
      <c r="E34" s="23" t="s">
        <v>12</v>
      </c>
      <c r="F34" s="23" t="s">
        <v>12</v>
      </c>
    </row>
    <row r="35" spans="1:6" ht="25.5">
      <c r="A35" s="18">
        <v>23030000</v>
      </c>
      <c r="B35" s="19" t="s">
        <v>34</v>
      </c>
      <c r="C35" s="21">
        <v>111</v>
      </c>
      <c r="D35" s="20" t="s">
        <v>12</v>
      </c>
      <c r="E35" s="20" t="s">
        <v>12</v>
      </c>
      <c r="F35" s="20">
        <f>C35</f>
        <v>111</v>
      </c>
    </row>
    <row r="36" spans="1:6" ht="12.75">
      <c r="A36" s="18">
        <v>24000000</v>
      </c>
      <c r="B36" s="19" t="s">
        <v>35</v>
      </c>
      <c r="C36" s="21">
        <f>C39</f>
        <v>1499.3</v>
      </c>
      <c r="D36" s="20" t="s">
        <v>12</v>
      </c>
      <c r="E36" s="20" t="s">
        <v>12</v>
      </c>
      <c r="F36" s="20">
        <f>C36</f>
        <v>1499.3</v>
      </c>
    </row>
    <row r="37" spans="1:6" ht="12.75" hidden="1">
      <c r="A37" s="18"/>
      <c r="B37" s="19"/>
      <c r="C37" s="20">
        <v>0</v>
      </c>
      <c r="D37" s="20" t="s">
        <v>12</v>
      </c>
      <c r="E37" s="20" t="s">
        <v>12</v>
      </c>
      <c r="F37" s="20">
        <v>0</v>
      </c>
    </row>
    <row r="38" spans="1:6" ht="63.75" hidden="1">
      <c r="A38" s="18">
        <v>24030000</v>
      </c>
      <c r="B38" s="19" t="s">
        <v>36</v>
      </c>
      <c r="C38" s="23" t="s">
        <v>12</v>
      </c>
      <c r="D38" s="23" t="s">
        <v>12</v>
      </c>
      <c r="E38" s="23" t="s">
        <v>12</v>
      </c>
      <c r="F38" s="23" t="s">
        <v>12</v>
      </c>
    </row>
    <row r="39" spans="1:6" ht="12.75">
      <c r="A39" s="18">
        <v>24060300</v>
      </c>
      <c r="B39" s="19" t="s">
        <v>37</v>
      </c>
      <c r="C39" s="20">
        <f>115+1384.3</f>
        <v>1499.3</v>
      </c>
      <c r="D39" s="20" t="s">
        <v>12</v>
      </c>
      <c r="E39" s="20" t="s">
        <v>12</v>
      </c>
      <c r="F39" s="20">
        <f>C39</f>
        <v>1499.3</v>
      </c>
    </row>
    <row r="40" spans="1:6" ht="25.5">
      <c r="A40" s="18">
        <v>25000000</v>
      </c>
      <c r="B40" s="19" t="s">
        <v>38</v>
      </c>
      <c r="C40" s="20" t="s">
        <v>12</v>
      </c>
      <c r="D40" s="21">
        <f>12870.3+3619.1</f>
        <v>16489.399999999998</v>
      </c>
      <c r="E40" s="20" t="s">
        <v>12</v>
      </c>
      <c r="F40" s="20">
        <f>D40</f>
        <v>16489.399999999998</v>
      </c>
    </row>
    <row r="41" spans="1:6" ht="63.75">
      <c r="A41" s="18">
        <v>31030000</v>
      </c>
      <c r="B41" s="19" t="s">
        <v>39</v>
      </c>
      <c r="C41" s="20" t="s">
        <v>12</v>
      </c>
      <c r="D41" s="21">
        <v>1452.5</v>
      </c>
      <c r="E41" s="21">
        <f>D41</f>
        <v>1452.5</v>
      </c>
      <c r="F41" s="20">
        <f>D41</f>
        <v>1452.5</v>
      </c>
    </row>
    <row r="42" spans="1:6" ht="12.75">
      <c r="A42" s="18">
        <v>50000000</v>
      </c>
      <c r="B42" s="19" t="s">
        <v>40</v>
      </c>
      <c r="C42" s="20" t="s">
        <v>12</v>
      </c>
      <c r="D42" s="20">
        <f>D43+D44</f>
        <v>27671.699999999997</v>
      </c>
      <c r="E42" s="20" t="s">
        <v>12</v>
      </c>
      <c r="F42" s="20">
        <f>D42</f>
        <v>27671.699999999997</v>
      </c>
    </row>
    <row r="43" spans="1:6" ht="25.5">
      <c r="A43" s="18">
        <v>50080000</v>
      </c>
      <c r="B43" s="19" t="s">
        <v>41</v>
      </c>
      <c r="C43" s="20" t="s">
        <v>12</v>
      </c>
      <c r="D43" s="21">
        <f>23470.6+1590+550</f>
        <v>25610.6</v>
      </c>
      <c r="E43" s="20" t="s">
        <v>12</v>
      </c>
      <c r="F43" s="20">
        <f>D43</f>
        <v>25610.6</v>
      </c>
    </row>
    <row r="44" spans="1:6" ht="66" customHeight="1">
      <c r="A44" s="18">
        <v>50110000</v>
      </c>
      <c r="B44" s="19" t="s">
        <v>42</v>
      </c>
      <c r="C44" s="20" t="s">
        <v>12</v>
      </c>
      <c r="D44" s="20">
        <v>2061.1</v>
      </c>
      <c r="E44" s="20" t="s">
        <v>12</v>
      </c>
      <c r="F44" s="20">
        <f>D44</f>
        <v>2061.1</v>
      </c>
    </row>
    <row r="45" spans="1:6" s="28" customFormat="1" ht="12.75">
      <c r="A45" s="24"/>
      <c r="B45" s="25" t="s">
        <v>43</v>
      </c>
      <c r="C45" s="26">
        <f>C12+C27</f>
        <v>479349.7</v>
      </c>
      <c r="D45" s="26">
        <f>D12+D27+D41+D42</f>
        <v>74173.59999999999</v>
      </c>
      <c r="E45" s="27">
        <f>E41</f>
        <v>1452.5</v>
      </c>
      <c r="F45" s="27">
        <f>C45+D45</f>
        <v>553523.3</v>
      </c>
    </row>
    <row r="46" spans="1:6" s="28" customFormat="1" ht="12.75">
      <c r="A46" s="24"/>
      <c r="B46" s="25"/>
      <c r="C46" s="26"/>
      <c r="D46" s="26"/>
      <c r="E46" s="27"/>
      <c r="F46" s="27"/>
    </row>
    <row r="47" spans="1:6" ht="12.75">
      <c r="A47" s="24">
        <v>40000000</v>
      </c>
      <c r="B47" s="25" t="s">
        <v>44</v>
      </c>
      <c r="C47" s="27">
        <f>C48+C50+C56+C49</f>
        <v>51940.80000000002</v>
      </c>
      <c r="D47" s="27">
        <f>D50+D56</f>
        <v>39488.9</v>
      </c>
      <c r="E47" s="27">
        <f>E50+E56</f>
        <v>39488.9</v>
      </c>
      <c r="F47" s="27">
        <f>C47+D47</f>
        <v>91429.70000000001</v>
      </c>
    </row>
    <row r="48" spans="1:6" ht="89.25">
      <c r="A48" s="18">
        <v>41020600</v>
      </c>
      <c r="B48" s="19" t="s">
        <v>232</v>
      </c>
      <c r="C48" s="20">
        <v>13705.5</v>
      </c>
      <c r="D48" s="20" t="s">
        <v>12</v>
      </c>
      <c r="E48" s="20" t="s">
        <v>12</v>
      </c>
      <c r="F48" s="20">
        <f>C48</f>
        <v>13705.5</v>
      </c>
    </row>
    <row r="49" spans="1:6" ht="89.25">
      <c r="A49" s="18">
        <v>41020700</v>
      </c>
      <c r="B49" s="19" t="s">
        <v>233</v>
      </c>
      <c r="C49" s="20">
        <v>3640.6</v>
      </c>
      <c r="D49" s="20"/>
      <c r="E49" s="20"/>
      <c r="F49" s="20">
        <f>C49</f>
        <v>3640.6</v>
      </c>
    </row>
    <row r="50" spans="1:6" ht="13.5">
      <c r="A50" s="29">
        <v>41030000</v>
      </c>
      <c r="B50" s="30" t="s">
        <v>45</v>
      </c>
      <c r="C50" s="31">
        <f>C53+C54+C55+C56</f>
        <v>34594.70000000002</v>
      </c>
      <c r="D50" s="31">
        <f>D53+D54+D55</f>
        <v>23976.7</v>
      </c>
      <c r="E50" s="31">
        <f>E53+E54+E55</f>
        <v>23976.7</v>
      </c>
      <c r="F50" s="31">
        <f>C50+D50</f>
        <v>58571.40000000002</v>
      </c>
    </row>
    <row r="51" spans="1:6" ht="25.5" hidden="1">
      <c r="A51" s="18">
        <v>42000000</v>
      </c>
      <c r="B51" s="19" t="s">
        <v>46</v>
      </c>
      <c r="C51" s="20" t="s">
        <v>12</v>
      </c>
      <c r="D51" s="20" t="s">
        <v>12</v>
      </c>
      <c r="E51" s="20" t="s">
        <v>12</v>
      </c>
      <c r="F51" s="20" t="e">
        <f aca="true" t="shared" si="0" ref="F51:F56">C51+D51</f>
        <v>#VALUE!</v>
      </c>
    </row>
    <row r="52" spans="1:6" ht="25.5" hidden="1">
      <c r="A52" s="18">
        <v>42020000</v>
      </c>
      <c r="B52" s="19" t="s">
        <v>47</v>
      </c>
      <c r="C52" s="20" t="s">
        <v>12</v>
      </c>
      <c r="D52" s="20" t="s">
        <v>12</v>
      </c>
      <c r="E52" s="20" t="s">
        <v>12</v>
      </c>
      <c r="F52" s="20" t="e">
        <f t="shared" si="0"/>
        <v>#VALUE!</v>
      </c>
    </row>
    <row r="53" spans="1:6" ht="51">
      <c r="A53" s="18">
        <v>41030400</v>
      </c>
      <c r="B53" s="19" t="s">
        <v>234</v>
      </c>
      <c r="C53" s="20"/>
      <c r="D53" s="20">
        <v>22506.3</v>
      </c>
      <c r="E53" s="20">
        <v>22506.3</v>
      </c>
      <c r="F53" s="20">
        <f t="shared" si="0"/>
        <v>22506.3</v>
      </c>
    </row>
    <row r="54" spans="1:6" ht="51">
      <c r="A54" s="18">
        <v>41030500</v>
      </c>
      <c r="B54" s="22" t="s">
        <v>235</v>
      </c>
      <c r="C54" s="20">
        <f>29654.5+241.7+80-7+44-39.4-536.3+230+7+20-40-55.3-36.4-450.4+0.1</f>
        <v>29112.499999999996</v>
      </c>
      <c r="D54" s="20">
        <f>E54</f>
        <v>1470.4</v>
      </c>
      <c r="E54" s="20">
        <f>1500.4-10-20+20-20</f>
        <v>1470.4</v>
      </c>
      <c r="F54" s="20">
        <f t="shared" si="0"/>
        <v>30582.899999999998</v>
      </c>
    </row>
    <row r="55" spans="1:7" s="17" customFormat="1" ht="52.5" customHeight="1">
      <c r="A55" s="32">
        <v>41030700</v>
      </c>
      <c r="B55" s="33" t="s">
        <v>48</v>
      </c>
      <c r="C55" s="14">
        <f>385994.5-338534.6-9012.3-13387.8-19577.6</f>
        <v>5482.200000000023</v>
      </c>
      <c r="D55" s="14"/>
      <c r="E55" s="14"/>
      <c r="F55" s="14">
        <f t="shared" si="0"/>
        <v>5482.200000000023</v>
      </c>
      <c r="G55" s="34"/>
    </row>
    <row r="56" spans="1:6" ht="38.25">
      <c r="A56" s="35">
        <v>43010000</v>
      </c>
      <c r="B56" s="19" t="s">
        <v>49</v>
      </c>
      <c r="C56" s="20"/>
      <c r="D56" s="20">
        <f>7890+5482.2+1000+740+400</f>
        <v>15512.2</v>
      </c>
      <c r="E56" s="20">
        <f>7890+5482.2+1000+740+400</f>
        <v>15512.2</v>
      </c>
      <c r="F56" s="20">
        <f t="shared" si="0"/>
        <v>15512.2</v>
      </c>
    </row>
    <row r="57" spans="1:6" s="28" customFormat="1" ht="12.75">
      <c r="A57" s="24"/>
      <c r="B57" s="25" t="s">
        <v>50</v>
      </c>
      <c r="C57" s="27">
        <f>C45+C47</f>
        <v>531290.5</v>
      </c>
      <c r="D57" s="27">
        <f>D45+D47</f>
        <v>113662.5</v>
      </c>
      <c r="E57" s="27">
        <f>E47+E45</f>
        <v>40941.4</v>
      </c>
      <c r="F57" s="27">
        <f>C57+D57</f>
        <v>644953</v>
      </c>
    </row>
    <row r="59" spans="3:4" ht="12">
      <c r="C59" s="36"/>
      <c r="D59" s="36"/>
    </row>
  </sheetData>
  <mergeCells count="5">
    <mergeCell ref="E3:F3"/>
    <mergeCell ref="A9:A10"/>
    <mergeCell ref="B9:B10"/>
    <mergeCell ref="C9:C10"/>
    <mergeCell ref="F9:F10"/>
  </mergeCells>
  <printOptions/>
  <pageMargins left="0.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2"/>
  <sheetViews>
    <sheetView view="pageBreakPreview" zoomScale="65" zoomScaleNormal="65" zoomScaleSheetLayoutView="65" workbookViewId="0" topLeftCell="A4">
      <pane xSplit="2" ySplit="9" topLeftCell="C97" activePane="bottomRight" state="frozen"/>
      <selection pane="topLeft" activeCell="C57" sqref="C57"/>
      <selection pane="topRight" activeCell="C57" sqref="C57"/>
      <selection pane="bottomLeft" activeCell="C57" sqref="C57"/>
      <selection pane="bottomRight" activeCell="C57" sqref="C57"/>
    </sheetView>
  </sheetViews>
  <sheetFormatPr defaultColWidth="9.00390625" defaultRowHeight="12.75"/>
  <cols>
    <col min="1" max="1" width="8.125" style="37" customWidth="1"/>
    <col min="2" max="2" width="28.125" style="38" customWidth="1"/>
    <col min="3" max="3" width="9.75390625" style="39" customWidth="1"/>
    <col min="4" max="4" width="10.00390625" style="39" customWidth="1"/>
    <col min="5" max="5" width="9.125" style="39" customWidth="1"/>
    <col min="6" max="6" width="10.00390625" style="39" customWidth="1"/>
    <col min="7" max="7" width="9.625" style="39" customWidth="1"/>
    <col min="8" max="8" width="10.75390625" style="39" customWidth="1"/>
    <col min="9" max="9" width="8.625" style="39" customWidth="1"/>
    <col min="10" max="10" width="7.875" style="39" customWidth="1"/>
    <col min="11" max="11" width="10.25390625" style="39" customWidth="1"/>
    <col min="12" max="12" width="10.75390625" style="39" customWidth="1"/>
    <col min="13" max="16384" width="8.875" style="39" customWidth="1"/>
  </cols>
  <sheetData>
    <row r="1" spans="8:10" ht="12" customHeight="1">
      <c r="H1" s="191" t="s">
        <v>51</v>
      </c>
      <c r="I1" s="191"/>
      <c r="J1" s="191"/>
    </row>
    <row r="2" spans="8:10" ht="16.5" customHeight="1">
      <c r="H2" s="40" t="s">
        <v>1</v>
      </c>
      <c r="I2" s="40"/>
      <c r="J2" s="40"/>
    </row>
    <row r="3" spans="8:10" ht="12.75">
      <c r="H3" s="41"/>
      <c r="I3" s="41"/>
      <c r="J3" s="41"/>
    </row>
    <row r="5" spans="2:8" ht="13.5" customHeight="1">
      <c r="B5" s="37"/>
      <c r="C5" s="42"/>
      <c r="D5" s="42"/>
      <c r="E5" s="42"/>
      <c r="F5" s="42"/>
      <c r="G5" s="42"/>
      <c r="H5" s="42"/>
    </row>
    <row r="6" spans="1:10" ht="15.75">
      <c r="A6" s="192" t="s">
        <v>52</v>
      </c>
      <c r="B6" s="192"/>
      <c r="C6" s="192"/>
      <c r="D6" s="192"/>
      <c r="E6" s="192"/>
      <c r="F6" s="192"/>
      <c r="G6" s="192"/>
      <c r="H6" s="192"/>
      <c r="I6" s="43"/>
      <c r="J6" s="43"/>
    </row>
    <row r="7" spans="1:12" ht="15" customHeight="1">
      <c r="A7" s="192" t="s">
        <v>53</v>
      </c>
      <c r="B7" s="192"/>
      <c r="C7" s="192"/>
      <c r="D7" s="192"/>
      <c r="E7" s="192"/>
      <c r="F7" s="192"/>
      <c r="G7" s="192"/>
      <c r="H7" s="192"/>
      <c r="I7" s="44"/>
      <c r="J7" s="44"/>
      <c r="K7" s="45"/>
      <c r="L7" s="45"/>
    </row>
    <row r="8" spans="6:12" ht="13.5" thickBot="1">
      <c r="F8" s="46"/>
      <c r="G8" s="46"/>
      <c r="I8" s="47"/>
      <c r="J8" s="48" t="s">
        <v>3</v>
      </c>
      <c r="L8" s="45"/>
    </row>
    <row r="9" spans="1:12" ht="25.5" customHeight="1" thickBot="1">
      <c r="A9" s="193" t="s">
        <v>54</v>
      </c>
      <c r="B9" s="184" t="s">
        <v>55</v>
      </c>
      <c r="C9" s="196" t="s">
        <v>56</v>
      </c>
      <c r="D9" s="197"/>
      <c r="E9" s="197"/>
      <c r="F9" s="197"/>
      <c r="G9" s="198"/>
      <c r="H9" s="199" t="s">
        <v>57</v>
      </c>
      <c r="I9" s="200"/>
      <c r="J9" s="201"/>
      <c r="K9" s="184" t="s">
        <v>58</v>
      </c>
      <c r="L9" s="49"/>
    </row>
    <row r="10" spans="1:12" ht="24" customHeight="1" thickBot="1">
      <c r="A10" s="194"/>
      <c r="B10" s="185"/>
      <c r="C10" s="187" t="s">
        <v>8</v>
      </c>
      <c r="D10" s="189" t="s">
        <v>59</v>
      </c>
      <c r="E10" s="189"/>
      <c r="F10" s="172"/>
      <c r="G10" s="173"/>
      <c r="H10" s="188" t="s">
        <v>8</v>
      </c>
      <c r="I10" s="50" t="s">
        <v>60</v>
      </c>
      <c r="J10" s="174" t="s">
        <v>61</v>
      </c>
      <c r="K10" s="185"/>
      <c r="L10" s="49"/>
    </row>
    <row r="11" spans="1:12" ht="98.25" customHeight="1" thickBot="1">
      <c r="A11" s="195"/>
      <c r="B11" s="185"/>
      <c r="C11" s="188"/>
      <c r="D11" s="51" t="s">
        <v>62</v>
      </c>
      <c r="E11" s="52" t="s">
        <v>63</v>
      </c>
      <c r="F11" s="52" t="s">
        <v>64</v>
      </c>
      <c r="G11" s="52" t="s">
        <v>65</v>
      </c>
      <c r="H11" s="188"/>
      <c r="I11" s="52" t="s">
        <v>66</v>
      </c>
      <c r="J11" s="190"/>
      <c r="K11" s="186"/>
      <c r="L11" s="49"/>
    </row>
    <row r="12" spans="1:12" ht="13.5" thickBot="1">
      <c r="A12" s="53">
        <v>1</v>
      </c>
      <c r="B12" s="53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45"/>
    </row>
    <row r="13" spans="1:12" s="59" customFormat="1" ht="18" customHeight="1">
      <c r="A13" s="55" t="s">
        <v>67</v>
      </c>
      <c r="B13" s="56" t="s">
        <v>68</v>
      </c>
      <c r="C13" s="57">
        <f>D13+E13+F13</f>
        <v>6113</v>
      </c>
      <c r="D13" s="57">
        <f>D14</f>
        <v>431.90000000000003</v>
      </c>
      <c r="E13" s="57">
        <f>E14</f>
        <v>937.4</v>
      </c>
      <c r="F13" s="57">
        <f>F14</f>
        <v>4743.7</v>
      </c>
      <c r="G13" s="57"/>
      <c r="H13" s="57">
        <f>H14</f>
        <v>0</v>
      </c>
      <c r="I13" s="57"/>
      <c r="J13" s="57"/>
      <c r="K13" s="57">
        <f>C13+H13</f>
        <v>6113</v>
      </c>
      <c r="L13" s="58"/>
    </row>
    <row r="14" spans="1:13" ht="24.75" customHeight="1">
      <c r="A14" s="60" t="s">
        <v>69</v>
      </c>
      <c r="B14" s="61" t="s">
        <v>70</v>
      </c>
      <c r="C14" s="62">
        <f aca="true" t="shared" si="0" ref="C14:C80">D14+E14+F14</f>
        <v>6113</v>
      </c>
      <c r="D14" s="62">
        <f>394.5+20+12.6+4.8</f>
        <v>431.90000000000003</v>
      </c>
      <c r="E14" s="62">
        <f>787.4+150</f>
        <v>937.4</v>
      </c>
      <c r="F14" s="62">
        <f>4631.1-20-12.6-150+300-4.8</f>
        <v>4743.7</v>
      </c>
      <c r="G14" s="62"/>
      <c r="H14" s="62"/>
      <c r="I14" s="62"/>
      <c r="J14" s="62"/>
      <c r="K14" s="62">
        <f aca="true" t="shared" si="1" ref="K14:K80">C14+H14</f>
        <v>6113</v>
      </c>
      <c r="L14" s="45"/>
      <c r="M14" s="63"/>
    </row>
    <row r="15" spans="1:13" ht="25.5" customHeight="1">
      <c r="A15" s="64" t="s">
        <v>71</v>
      </c>
      <c r="B15" s="65" t="s">
        <v>72</v>
      </c>
      <c r="C15" s="66">
        <f>D15+E15+F15+G15</f>
        <v>9679.8</v>
      </c>
      <c r="D15" s="66">
        <f>SUM(D17:D22)</f>
        <v>0</v>
      </c>
      <c r="E15" s="66">
        <f>SUM(E17:E22)</f>
        <v>0</v>
      </c>
      <c r="F15" s="66">
        <f>SUM(F17:F22)</f>
        <v>5180</v>
      </c>
      <c r="G15" s="66">
        <f>SUM(G17:G23)</f>
        <v>4499.8</v>
      </c>
      <c r="H15" s="66">
        <f>SUM(H17:H22)</f>
        <v>0</v>
      </c>
      <c r="I15" s="66"/>
      <c r="J15" s="66"/>
      <c r="K15" s="66">
        <f t="shared" si="1"/>
        <v>9679.8</v>
      </c>
      <c r="L15" s="45"/>
      <c r="M15" s="63"/>
    </row>
    <row r="16" spans="1:13" ht="12.75" hidden="1">
      <c r="A16" s="64" t="s">
        <v>73</v>
      </c>
      <c r="B16" s="65" t="s">
        <v>74</v>
      </c>
      <c r="C16" s="66">
        <f aca="true" t="shared" si="2" ref="C16:C29">D16+E16+F16+G16</f>
        <v>0</v>
      </c>
      <c r="D16" s="66">
        <f>SUM(D17:D22)</f>
        <v>0</v>
      </c>
      <c r="E16" s="66">
        <f>SUM(E17:E22)</f>
        <v>0</v>
      </c>
      <c r="F16" s="66"/>
      <c r="G16" s="66"/>
      <c r="H16" s="66">
        <f>H17</f>
        <v>0</v>
      </c>
      <c r="I16" s="66"/>
      <c r="J16" s="66"/>
      <c r="K16" s="62">
        <f t="shared" si="1"/>
        <v>0</v>
      </c>
      <c r="L16" s="45"/>
      <c r="M16" s="63"/>
    </row>
    <row r="17" spans="1:13" ht="24" customHeight="1" hidden="1">
      <c r="A17" s="60" t="s">
        <v>75</v>
      </c>
      <c r="B17" s="61" t="s">
        <v>76</v>
      </c>
      <c r="C17" s="66">
        <f t="shared" si="2"/>
        <v>0</v>
      </c>
      <c r="D17" s="66"/>
      <c r="E17" s="66"/>
      <c r="F17" s="66"/>
      <c r="G17" s="66"/>
      <c r="H17" s="66"/>
      <c r="I17" s="66"/>
      <c r="J17" s="66"/>
      <c r="K17" s="62">
        <f t="shared" si="1"/>
        <v>0</v>
      </c>
      <c r="L17" s="45"/>
      <c r="M17" s="63"/>
    </row>
    <row r="18" spans="1:13" ht="12.75" hidden="1">
      <c r="A18" s="60" t="s">
        <v>77</v>
      </c>
      <c r="B18" s="61" t="s">
        <v>78</v>
      </c>
      <c r="C18" s="66">
        <f t="shared" si="2"/>
        <v>0</v>
      </c>
      <c r="D18" s="62"/>
      <c r="E18" s="62"/>
      <c r="F18" s="62"/>
      <c r="G18" s="62"/>
      <c r="H18" s="62"/>
      <c r="I18" s="62"/>
      <c r="J18" s="62"/>
      <c r="K18" s="62">
        <f t="shared" si="1"/>
        <v>0</v>
      </c>
      <c r="L18" s="45"/>
      <c r="M18" s="63"/>
    </row>
    <row r="19" spans="1:13" ht="15" customHeight="1" hidden="1">
      <c r="A19" s="60" t="s">
        <v>79</v>
      </c>
      <c r="B19" s="67" t="s">
        <v>80</v>
      </c>
      <c r="C19" s="62">
        <f t="shared" si="2"/>
        <v>0</v>
      </c>
      <c r="D19" s="62"/>
      <c r="E19" s="62"/>
      <c r="F19" s="62"/>
      <c r="G19" s="62"/>
      <c r="H19" s="62">
        <f>H20+H21+H22</f>
        <v>0</v>
      </c>
      <c r="I19" s="62"/>
      <c r="J19" s="62"/>
      <c r="K19" s="62">
        <f t="shared" si="1"/>
        <v>0</v>
      </c>
      <c r="L19" s="45"/>
      <c r="M19" s="63"/>
    </row>
    <row r="20" spans="1:13" ht="38.25" hidden="1">
      <c r="A20" s="60" t="s">
        <v>81</v>
      </c>
      <c r="B20" s="61" t="s">
        <v>82</v>
      </c>
      <c r="C20" s="62">
        <f t="shared" si="2"/>
        <v>0</v>
      </c>
      <c r="D20" s="62"/>
      <c r="E20" s="62"/>
      <c r="F20" s="62"/>
      <c r="G20" s="62"/>
      <c r="H20" s="62"/>
      <c r="I20" s="62"/>
      <c r="J20" s="62"/>
      <c r="K20" s="62">
        <f t="shared" si="1"/>
        <v>0</v>
      </c>
      <c r="L20" s="45"/>
      <c r="M20" s="63"/>
    </row>
    <row r="21" spans="1:13" ht="12.75" customHeight="1" hidden="1">
      <c r="A21" s="60" t="s">
        <v>83</v>
      </c>
      <c r="B21" s="61" t="s">
        <v>84</v>
      </c>
      <c r="C21" s="62">
        <f t="shared" si="2"/>
        <v>0</v>
      </c>
      <c r="D21" s="62"/>
      <c r="E21" s="62"/>
      <c r="F21" s="62"/>
      <c r="G21" s="62"/>
      <c r="H21" s="62"/>
      <c r="I21" s="62"/>
      <c r="J21" s="62"/>
      <c r="K21" s="62">
        <f t="shared" si="1"/>
        <v>0</v>
      </c>
      <c r="L21" s="45"/>
      <c r="M21" s="63"/>
    </row>
    <row r="22" spans="1:13" ht="26.25" customHeight="1">
      <c r="A22" s="60" t="s">
        <v>85</v>
      </c>
      <c r="B22" s="67" t="s">
        <v>86</v>
      </c>
      <c r="C22" s="62">
        <f t="shared" si="2"/>
        <v>5952.1</v>
      </c>
      <c r="D22" s="62"/>
      <c r="E22" s="62"/>
      <c r="F22" s="62">
        <f>2300+1160+20+800+800+100</f>
        <v>5180</v>
      </c>
      <c r="G22" s="62">
        <f>820.1+7+60-7-110-5+7</f>
        <v>772.1</v>
      </c>
      <c r="H22" s="62"/>
      <c r="I22" s="62"/>
      <c r="J22" s="62"/>
      <c r="K22" s="62">
        <f t="shared" si="1"/>
        <v>5952.1</v>
      </c>
      <c r="L22" s="45"/>
      <c r="M22" s="63"/>
    </row>
    <row r="23" spans="1:13" ht="26.25" customHeight="1">
      <c r="A23" s="60" t="s">
        <v>81</v>
      </c>
      <c r="B23" s="67" t="s">
        <v>82</v>
      </c>
      <c r="C23" s="62">
        <f t="shared" si="2"/>
        <v>3727.7</v>
      </c>
      <c r="D23" s="62"/>
      <c r="E23" s="62"/>
      <c r="F23" s="62"/>
      <c r="G23" s="62">
        <f>3584+20+3.7+7.4+112.6</f>
        <v>3727.7</v>
      </c>
      <c r="H23" s="62"/>
      <c r="I23" s="62"/>
      <c r="J23" s="62"/>
      <c r="K23" s="62">
        <f t="shared" si="1"/>
        <v>3727.7</v>
      </c>
      <c r="L23" s="45"/>
      <c r="M23" s="63"/>
    </row>
    <row r="24" spans="1:12" s="63" customFormat="1" ht="16.5" customHeight="1">
      <c r="A24" s="64" t="s">
        <v>87</v>
      </c>
      <c r="B24" s="68" t="s">
        <v>88</v>
      </c>
      <c r="C24" s="66">
        <f t="shared" si="2"/>
        <v>90633.2</v>
      </c>
      <c r="D24" s="66">
        <f>34566.9+672.4</f>
        <v>35239.3</v>
      </c>
      <c r="E24" s="66">
        <f>8491.4+6+327</f>
        <v>8824.4</v>
      </c>
      <c r="F24" s="66">
        <f>39164.5+700+244.1+335.2+162.2+373+16+74</f>
        <v>41068.99999999999</v>
      </c>
      <c r="G24" s="66">
        <f>5615.2+234.7+277.8+8.2-348.9+20-55.3-251.2</f>
        <v>5500.5</v>
      </c>
      <c r="H24" s="66">
        <v>3890.9</v>
      </c>
      <c r="I24" s="66"/>
      <c r="J24" s="66"/>
      <c r="K24" s="66">
        <f t="shared" si="1"/>
        <v>94524.09999999999</v>
      </c>
      <c r="L24" s="69"/>
    </row>
    <row r="25" spans="1:12" s="63" customFormat="1" ht="16.5" customHeight="1">
      <c r="A25" s="64" t="s">
        <v>89</v>
      </c>
      <c r="B25" s="68" t="s">
        <v>90</v>
      </c>
      <c r="C25" s="66">
        <f t="shared" si="2"/>
        <v>202143.5</v>
      </c>
      <c r="D25" s="66">
        <f>70800.2+3171.2-223</f>
        <v>73748.4</v>
      </c>
      <c r="E25" s="66">
        <f>15800+546</f>
        <v>16346</v>
      </c>
      <c r="F25" s="66">
        <f>93686.2+700+1179.7+449.5+1000+76+838.6+1850-323+2200</f>
        <v>101657</v>
      </c>
      <c r="G25" s="66">
        <f>10808-86.8-265-36.4-27.8+0.1</f>
        <v>10392.100000000002</v>
      </c>
      <c r="H25" s="66">
        <v>7742.6</v>
      </c>
      <c r="I25" s="66">
        <v>1342.5</v>
      </c>
      <c r="J25" s="66"/>
      <c r="K25" s="66">
        <f t="shared" si="1"/>
        <v>209886.1</v>
      </c>
      <c r="L25" s="69"/>
    </row>
    <row r="26" spans="1:12" s="63" customFormat="1" ht="27.75" customHeight="1">
      <c r="A26" s="64" t="s">
        <v>91</v>
      </c>
      <c r="B26" s="68" t="s">
        <v>92</v>
      </c>
      <c r="C26" s="66">
        <f>D26+E26+F26+G26</f>
        <v>46310.4</v>
      </c>
      <c r="D26" s="66">
        <f>D28+D29+D30+D31+D32+D33+D36+D37+D38+D39+D40+D35</f>
        <v>12886.4</v>
      </c>
      <c r="E26" s="66">
        <f>E28+E29+E30+E31+E32+E33+E36+E37+E38+E39+E40+E35</f>
        <v>4794.599999999999</v>
      </c>
      <c r="F26" s="66">
        <f>F28+F29+F30+F31+F32+F33+F36+F37+F38+F39+F40+F35</f>
        <v>28596.300000000007</v>
      </c>
      <c r="G26" s="66">
        <f>G28+G29+G30+G31+G32+G33+G36+G37+G38+G39+G40</f>
        <v>33.1</v>
      </c>
      <c r="H26" s="66">
        <f>H28+H29+H30+H31+H32+H33+H36+H37+H38+H39+H40</f>
        <v>5733.4</v>
      </c>
      <c r="I26" s="66">
        <f>I28+I29+I30+I31+I32+I33+I36+I37+I38+I39+I40</f>
        <v>0</v>
      </c>
      <c r="J26" s="66">
        <f>J28+J29+J30+J31+J32+J33+J36+J37+J38+J39+J40</f>
        <v>0</v>
      </c>
      <c r="K26" s="66">
        <f>K28+K29+K30+K31+K32+K33+K36+K37+K38+K39+K40+K35</f>
        <v>52043.8</v>
      </c>
      <c r="L26" s="69"/>
    </row>
    <row r="27" spans="1:13" ht="25.5" hidden="1">
      <c r="A27" s="60" t="s">
        <v>93</v>
      </c>
      <c r="B27" s="61" t="s">
        <v>94</v>
      </c>
      <c r="C27" s="62">
        <f t="shared" si="2"/>
        <v>0</v>
      </c>
      <c r="D27" s="62"/>
      <c r="E27" s="62"/>
      <c r="F27" s="62"/>
      <c r="G27" s="62"/>
      <c r="H27" s="62"/>
      <c r="I27" s="62"/>
      <c r="J27" s="62"/>
      <c r="K27" s="62">
        <f t="shared" si="1"/>
        <v>0</v>
      </c>
      <c r="L27" s="45"/>
      <c r="M27" s="63"/>
    </row>
    <row r="28" spans="1:13" ht="25.5">
      <c r="A28" s="60" t="s">
        <v>95</v>
      </c>
      <c r="B28" s="61" t="s">
        <v>96</v>
      </c>
      <c r="C28" s="62">
        <f t="shared" si="2"/>
        <v>3.3</v>
      </c>
      <c r="D28" s="62"/>
      <c r="E28" s="62"/>
      <c r="F28" s="62">
        <v>3.3</v>
      </c>
      <c r="G28" s="62"/>
      <c r="H28" s="62"/>
      <c r="I28" s="62"/>
      <c r="J28" s="62"/>
      <c r="K28" s="62">
        <f t="shared" si="1"/>
        <v>3.3</v>
      </c>
      <c r="L28" s="45"/>
      <c r="M28" s="63"/>
    </row>
    <row r="29" spans="1:13" ht="25.5" customHeight="1">
      <c r="A29" s="60" t="s">
        <v>97</v>
      </c>
      <c r="B29" s="61" t="s">
        <v>98</v>
      </c>
      <c r="C29" s="62">
        <f t="shared" si="2"/>
        <v>1361.1</v>
      </c>
      <c r="D29" s="62"/>
      <c r="E29" s="62"/>
      <c r="F29" s="62">
        <f>471+27+650-420+100+500</f>
        <v>1328</v>
      </c>
      <c r="G29" s="62">
        <v>33.1</v>
      </c>
      <c r="H29" s="62">
        <v>130</v>
      </c>
      <c r="I29" s="62"/>
      <c r="J29" s="62"/>
      <c r="K29" s="62">
        <f t="shared" si="1"/>
        <v>1491.1</v>
      </c>
      <c r="L29" s="45"/>
      <c r="M29" s="63"/>
    </row>
    <row r="30" spans="1:13" ht="36" customHeight="1">
      <c r="A30" s="70" t="s">
        <v>99</v>
      </c>
      <c r="B30" s="61" t="s">
        <v>100</v>
      </c>
      <c r="C30" s="62">
        <f t="shared" si="0"/>
        <v>472.79999999999995</v>
      </c>
      <c r="D30" s="62"/>
      <c r="E30" s="62"/>
      <c r="F30" s="62">
        <f>414.9+57.9</f>
        <v>472.79999999999995</v>
      </c>
      <c r="G30" s="62"/>
      <c r="H30" s="62"/>
      <c r="I30" s="62"/>
      <c r="J30" s="62"/>
      <c r="K30" s="62">
        <f t="shared" si="1"/>
        <v>472.79999999999995</v>
      </c>
      <c r="L30" s="45"/>
      <c r="M30" s="63"/>
    </row>
    <row r="31" spans="1:13" ht="12.75" hidden="1">
      <c r="A31" s="60" t="s">
        <v>101</v>
      </c>
      <c r="B31" s="61"/>
      <c r="C31" s="62">
        <f t="shared" si="0"/>
        <v>0</v>
      </c>
      <c r="D31" s="62"/>
      <c r="E31" s="62"/>
      <c r="F31" s="62"/>
      <c r="G31" s="62"/>
      <c r="H31" s="62"/>
      <c r="I31" s="62"/>
      <c r="J31" s="62"/>
      <c r="K31" s="62">
        <f t="shared" si="1"/>
        <v>0</v>
      </c>
      <c r="L31" s="45"/>
      <c r="M31" s="63"/>
    </row>
    <row r="32" spans="1:13" ht="51.75" customHeight="1">
      <c r="A32" s="60" t="s">
        <v>102</v>
      </c>
      <c r="B32" s="71" t="s">
        <v>103</v>
      </c>
      <c r="C32" s="62">
        <f t="shared" si="0"/>
        <v>33624.50000000001</v>
      </c>
      <c r="D32" s="62">
        <f>10243.5+381.3</f>
        <v>10624.8</v>
      </c>
      <c r="E32" s="62">
        <f>4091.9+74.6</f>
        <v>4166.5</v>
      </c>
      <c r="F32" s="62">
        <f>18416.9+418.2-115.5+141.9+41.9-74.6+4.4</f>
        <v>18833.200000000008</v>
      </c>
      <c r="G32" s="62"/>
      <c r="H32" s="62">
        <f>1618.6+92.3+3489.1</f>
        <v>5200</v>
      </c>
      <c r="I32" s="62"/>
      <c r="J32" s="62"/>
      <c r="K32" s="62">
        <f t="shared" si="1"/>
        <v>38824.50000000001</v>
      </c>
      <c r="L32" s="45"/>
      <c r="M32" s="63"/>
    </row>
    <row r="33" spans="1:13" ht="42.75" customHeight="1">
      <c r="A33" s="60" t="s">
        <v>104</v>
      </c>
      <c r="B33" s="71" t="s">
        <v>105</v>
      </c>
      <c r="C33" s="62">
        <f t="shared" si="0"/>
        <v>1335.7999999999997</v>
      </c>
      <c r="D33" s="62">
        <f>206+16.2</f>
        <v>222.2</v>
      </c>
      <c r="E33" s="62">
        <f>34.3-3.6</f>
        <v>30.699999999999996</v>
      </c>
      <c r="F33" s="62">
        <f>843.3-20+130+700-700+6+120+3.6</f>
        <v>1082.8999999999999</v>
      </c>
      <c r="G33" s="62"/>
      <c r="H33" s="62"/>
      <c r="I33" s="62"/>
      <c r="J33" s="62"/>
      <c r="K33" s="62">
        <f t="shared" si="1"/>
        <v>1335.7999999999997</v>
      </c>
      <c r="L33" s="45"/>
      <c r="M33" s="63"/>
    </row>
    <row r="34" spans="1:13" ht="42" customHeight="1">
      <c r="A34" s="60" t="s">
        <v>106</v>
      </c>
      <c r="B34" s="71" t="s">
        <v>107</v>
      </c>
      <c r="C34" s="62">
        <f t="shared" si="0"/>
        <v>350.5</v>
      </c>
      <c r="D34" s="62">
        <f>103.8+7+11.8</f>
        <v>122.6</v>
      </c>
      <c r="E34" s="62">
        <v>11</v>
      </c>
      <c r="F34" s="62">
        <f>122.5+4.4+90</f>
        <v>216.9</v>
      </c>
      <c r="G34" s="62"/>
      <c r="H34" s="62"/>
      <c r="I34" s="62"/>
      <c r="J34" s="62"/>
      <c r="K34" s="62">
        <f t="shared" si="1"/>
        <v>350.5</v>
      </c>
      <c r="L34" s="45"/>
      <c r="M34" s="63"/>
    </row>
    <row r="35" spans="1:13" ht="66.75" customHeight="1">
      <c r="A35" s="60" t="s">
        <v>108</v>
      </c>
      <c r="B35" s="71" t="s">
        <v>109</v>
      </c>
      <c r="C35" s="62">
        <f t="shared" si="0"/>
        <v>420</v>
      </c>
      <c r="D35" s="62"/>
      <c r="E35" s="62"/>
      <c r="F35" s="62">
        <v>420</v>
      </c>
      <c r="G35" s="62"/>
      <c r="H35" s="62"/>
      <c r="I35" s="62"/>
      <c r="J35" s="62"/>
      <c r="K35" s="62">
        <f t="shared" si="1"/>
        <v>420</v>
      </c>
      <c r="L35" s="45"/>
      <c r="M35" s="63"/>
    </row>
    <row r="36" spans="1:13" ht="36.75" customHeight="1">
      <c r="A36" s="60" t="s">
        <v>110</v>
      </c>
      <c r="B36" s="61" t="s">
        <v>111</v>
      </c>
      <c r="C36" s="62">
        <f t="shared" si="0"/>
        <v>66</v>
      </c>
      <c r="D36" s="62"/>
      <c r="E36" s="62"/>
      <c r="F36" s="62">
        <f>56+10</f>
        <v>66</v>
      </c>
      <c r="G36" s="62"/>
      <c r="H36" s="62"/>
      <c r="I36" s="62"/>
      <c r="J36" s="62"/>
      <c r="K36" s="62">
        <f t="shared" si="1"/>
        <v>66</v>
      </c>
      <c r="L36" s="45"/>
      <c r="M36" s="63"/>
    </row>
    <row r="37" spans="1:13" ht="12.75" hidden="1">
      <c r="A37" s="60" t="s">
        <v>112</v>
      </c>
      <c r="B37" s="61"/>
      <c r="C37" s="62">
        <f t="shared" si="0"/>
        <v>0</v>
      </c>
      <c r="D37" s="62"/>
      <c r="E37" s="62"/>
      <c r="F37" s="62"/>
      <c r="G37" s="62"/>
      <c r="H37" s="62"/>
      <c r="I37" s="62"/>
      <c r="J37" s="62"/>
      <c r="K37" s="62">
        <f t="shared" si="1"/>
        <v>0</v>
      </c>
      <c r="L37" s="45"/>
      <c r="M37" s="63"/>
    </row>
    <row r="38" spans="1:13" ht="27" customHeight="1">
      <c r="A38" s="60" t="s">
        <v>113</v>
      </c>
      <c r="B38" s="71" t="s">
        <v>114</v>
      </c>
      <c r="C38" s="62">
        <f t="shared" si="0"/>
        <v>1589.2</v>
      </c>
      <c r="D38" s="62">
        <f>529.9+42</f>
        <v>571.9</v>
      </c>
      <c r="E38" s="62">
        <f>52.1+9.4</f>
        <v>61.5</v>
      </c>
      <c r="F38" s="62">
        <f>949.6+15.6-9.4</f>
        <v>955.8000000000001</v>
      </c>
      <c r="G38" s="62"/>
      <c r="H38" s="62">
        <v>403.4</v>
      </c>
      <c r="I38" s="62"/>
      <c r="J38" s="62"/>
      <c r="K38" s="62">
        <f t="shared" si="1"/>
        <v>1992.6</v>
      </c>
      <c r="L38" s="45"/>
      <c r="M38" s="63"/>
    </row>
    <row r="39" spans="1:13" ht="24.75" customHeight="1">
      <c r="A39" s="60" t="s">
        <v>115</v>
      </c>
      <c r="B39" s="71" t="s">
        <v>116</v>
      </c>
      <c r="C39" s="62">
        <f t="shared" si="0"/>
        <v>2652</v>
      </c>
      <c r="D39" s="62"/>
      <c r="E39" s="62"/>
      <c r="F39" s="62">
        <f>1400+261.8+0.2+990</f>
        <v>2652</v>
      </c>
      <c r="G39" s="62"/>
      <c r="H39" s="62"/>
      <c r="I39" s="62"/>
      <c r="J39" s="62"/>
      <c r="K39" s="62">
        <f t="shared" si="1"/>
        <v>2652</v>
      </c>
      <c r="L39" s="45"/>
      <c r="M39" s="63"/>
    </row>
    <row r="40" spans="1:13" ht="16.5" customHeight="1">
      <c r="A40" s="60" t="s">
        <v>117</v>
      </c>
      <c r="B40" s="71" t="s">
        <v>118</v>
      </c>
      <c r="C40" s="62">
        <f t="shared" si="0"/>
        <v>4785.700000000001</v>
      </c>
      <c r="D40" s="62">
        <f>1369.7+97.8</f>
        <v>1467.5</v>
      </c>
      <c r="E40" s="62">
        <f>409.2+41+85.7</f>
        <v>535.9</v>
      </c>
      <c r="F40" s="62">
        <f>2872.6+36.4-41-85.7</f>
        <v>2782.3</v>
      </c>
      <c r="G40" s="62"/>
      <c r="H40" s="62"/>
      <c r="I40" s="62"/>
      <c r="J40" s="62"/>
      <c r="K40" s="62">
        <f t="shared" si="1"/>
        <v>4785.700000000001</v>
      </c>
      <c r="L40" s="45"/>
      <c r="M40" s="63"/>
    </row>
    <row r="41" spans="1:12" s="63" customFormat="1" ht="24" customHeight="1">
      <c r="A41" s="72">
        <v>100000</v>
      </c>
      <c r="B41" s="73" t="s">
        <v>119</v>
      </c>
      <c r="C41" s="66">
        <f>D41+E41+F41+G41</f>
        <v>12794.1</v>
      </c>
      <c r="D41" s="66"/>
      <c r="E41" s="66"/>
      <c r="F41" s="66">
        <f>6000+1000+F42+200+200+600+50</f>
        <v>8062.5</v>
      </c>
      <c r="G41" s="66">
        <f>4770-45-50-35+230-40-98.4</f>
        <v>4731.6</v>
      </c>
      <c r="H41" s="66"/>
      <c r="I41" s="66"/>
      <c r="J41" s="66"/>
      <c r="K41" s="66">
        <f t="shared" si="1"/>
        <v>12794.1</v>
      </c>
      <c r="L41" s="69"/>
    </row>
    <row r="42" spans="1:12" ht="70.5" customHeight="1">
      <c r="A42" s="74">
        <v>100105</v>
      </c>
      <c r="B42" s="75" t="s">
        <v>120</v>
      </c>
      <c r="C42" s="62">
        <f t="shared" si="0"/>
        <v>12.5</v>
      </c>
      <c r="D42" s="62"/>
      <c r="E42" s="62"/>
      <c r="F42" s="62">
        <v>12.5</v>
      </c>
      <c r="G42" s="76"/>
      <c r="H42" s="62"/>
      <c r="I42" s="62"/>
      <c r="J42" s="62"/>
      <c r="K42" s="62">
        <f t="shared" si="1"/>
        <v>12.5</v>
      </c>
      <c r="L42" s="45"/>
    </row>
    <row r="43" spans="1:13" ht="25.5" customHeight="1" hidden="1">
      <c r="A43" s="74">
        <v>100202</v>
      </c>
      <c r="B43" s="61" t="s">
        <v>121</v>
      </c>
      <c r="C43" s="66">
        <f t="shared" si="0"/>
        <v>0</v>
      </c>
      <c r="D43" s="66"/>
      <c r="E43" s="66"/>
      <c r="F43" s="66"/>
      <c r="G43" s="66"/>
      <c r="H43" s="66"/>
      <c r="I43" s="66"/>
      <c r="J43" s="66"/>
      <c r="K43" s="62">
        <f t="shared" si="1"/>
        <v>0</v>
      </c>
      <c r="L43" s="45"/>
      <c r="M43" s="63"/>
    </row>
    <row r="44" spans="1:11" s="63" customFormat="1" ht="12.75" hidden="1">
      <c r="A44" s="74">
        <v>100203</v>
      </c>
      <c r="B44" s="61" t="s">
        <v>122</v>
      </c>
      <c r="C44" s="66">
        <f t="shared" si="0"/>
        <v>0</v>
      </c>
      <c r="D44" s="66"/>
      <c r="E44" s="66"/>
      <c r="F44" s="66"/>
      <c r="G44" s="66"/>
      <c r="H44" s="66"/>
      <c r="I44" s="66"/>
      <c r="J44" s="66"/>
      <c r="K44" s="62">
        <f t="shared" si="1"/>
        <v>0</v>
      </c>
    </row>
    <row r="45" spans="1:12" s="63" customFormat="1" ht="12.75">
      <c r="A45" s="77">
        <v>110000</v>
      </c>
      <c r="B45" s="65" t="s">
        <v>123</v>
      </c>
      <c r="C45" s="66">
        <f aca="true" t="shared" si="3" ref="C45:C53">D45+E45+F45+G45</f>
        <v>22996.3</v>
      </c>
      <c r="D45" s="66">
        <f>SUM(D46:D48)</f>
        <v>1371.5</v>
      </c>
      <c r="E45" s="66">
        <f>SUM(E46:E48)</f>
        <v>390.1</v>
      </c>
      <c r="F45" s="66">
        <f>SUM(F46:F48)</f>
        <v>19382.7</v>
      </c>
      <c r="G45" s="66">
        <f>G46+G47+G48</f>
        <v>1852</v>
      </c>
      <c r="H45" s="66">
        <f>SUM(H46:H48)</f>
        <v>465</v>
      </c>
      <c r="I45" s="66"/>
      <c r="J45" s="66"/>
      <c r="K45" s="66">
        <f t="shared" si="1"/>
        <v>23461.3</v>
      </c>
      <c r="L45" s="69"/>
    </row>
    <row r="46" spans="1:13" ht="12.75">
      <c r="A46" s="74">
        <v>110100</v>
      </c>
      <c r="B46" s="61" t="s">
        <v>124</v>
      </c>
      <c r="C46" s="88">
        <f>D46+E46+F46+G46</f>
        <v>17127.1</v>
      </c>
      <c r="D46" s="88"/>
      <c r="E46" s="88"/>
      <c r="F46" s="88">
        <f>10387+3000+976+191.2+400+56+110+33.4+121.5</f>
        <v>15275.1</v>
      </c>
      <c r="G46" s="88">
        <f>1855-3</f>
        <v>1852</v>
      </c>
      <c r="H46" s="88"/>
      <c r="I46" s="88"/>
      <c r="J46" s="88"/>
      <c r="K46" s="88">
        <f t="shared" si="1"/>
        <v>17127.1</v>
      </c>
      <c r="L46" s="45"/>
      <c r="M46" s="63"/>
    </row>
    <row r="47" spans="1:13" ht="37.5" customHeight="1">
      <c r="A47" s="32" t="s">
        <v>125</v>
      </c>
      <c r="B47" s="71" t="s">
        <v>126</v>
      </c>
      <c r="C47" s="88">
        <f t="shared" si="3"/>
        <v>5669.200000000001</v>
      </c>
      <c r="D47" s="88">
        <f>1283.2+88.3</f>
        <v>1371.5</v>
      </c>
      <c r="E47" s="88">
        <f>311.6+33.5+45</f>
        <v>390.1</v>
      </c>
      <c r="F47" s="88">
        <f>3094.6+1821+40-33.5-1382.1+100+32.9+100+21.7+5+108</f>
        <v>3907.6000000000004</v>
      </c>
      <c r="G47" s="88"/>
      <c r="H47" s="88">
        <v>465</v>
      </c>
      <c r="I47" s="88"/>
      <c r="J47" s="88"/>
      <c r="K47" s="88">
        <f t="shared" si="1"/>
        <v>6134.200000000001</v>
      </c>
      <c r="L47" s="45"/>
      <c r="M47" s="63"/>
    </row>
    <row r="48" spans="1:13" ht="12.75">
      <c r="A48" s="74">
        <v>110300</v>
      </c>
      <c r="B48" s="61" t="s">
        <v>127</v>
      </c>
      <c r="C48" s="88">
        <f t="shared" si="3"/>
        <v>200</v>
      </c>
      <c r="D48" s="88"/>
      <c r="E48" s="88"/>
      <c r="F48" s="88">
        <v>200</v>
      </c>
      <c r="G48" s="88"/>
      <c r="H48" s="88"/>
      <c r="I48" s="88"/>
      <c r="J48" s="88"/>
      <c r="K48" s="88">
        <f t="shared" si="1"/>
        <v>200</v>
      </c>
      <c r="L48" s="45"/>
      <c r="M48" s="63"/>
    </row>
    <row r="49" spans="1:12" s="63" customFormat="1" ht="18.75" customHeight="1">
      <c r="A49" s="77">
        <v>120000</v>
      </c>
      <c r="B49" s="169" t="s">
        <v>128</v>
      </c>
      <c r="C49" s="170">
        <f t="shared" si="3"/>
        <v>4437.2</v>
      </c>
      <c r="D49" s="170"/>
      <c r="E49" s="170"/>
      <c r="F49" s="170">
        <f>F51+F53+F50</f>
        <v>3185.1</v>
      </c>
      <c r="G49" s="170">
        <f>G51+G53+G50</f>
        <v>1252.1</v>
      </c>
      <c r="H49" s="170"/>
      <c r="I49" s="170"/>
      <c r="J49" s="170"/>
      <c r="K49" s="170">
        <f t="shared" si="1"/>
        <v>4437.2</v>
      </c>
      <c r="L49" s="69"/>
    </row>
    <row r="50" spans="1:13" ht="16.5" customHeight="1">
      <c r="A50" s="78">
        <v>120100</v>
      </c>
      <c r="B50" s="79" t="s">
        <v>129</v>
      </c>
      <c r="C50" s="80">
        <f t="shared" si="3"/>
        <v>100</v>
      </c>
      <c r="D50" s="80"/>
      <c r="E50" s="80"/>
      <c r="F50" s="80">
        <f>2000-1500-400</f>
        <v>100</v>
      </c>
      <c r="G50" s="80"/>
      <c r="H50" s="80"/>
      <c r="I50" s="80"/>
      <c r="J50" s="80"/>
      <c r="K50" s="80">
        <f t="shared" si="1"/>
        <v>100</v>
      </c>
      <c r="L50" s="45"/>
      <c r="M50" s="63"/>
    </row>
    <row r="51" spans="1:13" ht="26.25" customHeight="1">
      <c r="A51" s="125" t="s">
        <v>239</v>
      </c>
      <c r="B51" s="148" t="s">
        <v>130</v>
      </c>
      <c r="C51" s="80">
        <f t="shared" si="3"/>
        <v>3980.1</v>
      </c>
      <c r="D51" s="62"/>
      <c r="E51" s="62"/>
      <c r="F51" s="62">
        <f>4200-300-1172</f>
        <v>2728</v>
      </c>
      <c r="G51" s="62">
        <f>1295.1-43</f>
        <v>1252.1</v>
      </c>
      <c r="H51" s="62"/>
      <c r="I51" s="62"/>
      <c r="J51" s="62"/>
      <c r="K51" s="62">
        <f t="shared" si="1"/>
        <v>3980.1</v>
      </c>
      <c r="L51" s="45"/>
      <c r="M51" s="63"/>
    </row>
    <row r="52" spans="1:13" ht="26.25" customHeight="1" hidden="1">
      <c r="A52" s="74">
        <v>120201</v>
      </c>
      <c r="B52" s="61" t="s">
        <v>130</v>
      </c>
      <c r="C52" s="57">
        <f t="shared" si="3"/>
        <v>0</v>
      </c>
      <c r="D52" s="62"/>
      <c r="E52" s="62"/>
      <c r="F52" s="62"/>
      <c r="G52" s="62"/>
      <c r="H52" s="62"/>
      <c r="I52" s="62"/>
      <c r="J52" s="62"/>
      <c r="K52" s="62">
        <f t="shared" si="1"/>
        <v>0</v>
      </c>
      <c r="L52" s="45"/>
      <c r="M52" s="63"/>
    </row>
    <row r="53" spans="1:13" ht="12.75">
      <c r="A53" s="74">
        <v>120300</v>
      </c>
      <c r="B53" s="61" t="s">
        <v>131</v>
      </c>
      <c r="C53" s="80">
        <f t="shared" si="3"/>
        <v>357.1</v>
      </c>
      <c r="D53" s="62"/>
      <c r="E53" s="62"/>
      <c r="F53" s="62">
        <f>334.3+4.5+40-21.7</f>
        <v>357.1</v>
      </c>
      <c r="G53" s="62"/>
      <c r="H53" s="62"/>
      <c r="I53" s="62"/>
      <c r="J53" s="62"/>
      <c r="K53" s="62">
        <f t="shared" si="1"/>
        <v>357.1</v>
      </c>
      <c r="L53" s="45"/>
      <c r="M53" s="63"/>
    </row>
    <row r="54" spans="1:13" ht="12.75" hidden="1">
      <c r="A54" s="74">
        <v>120301</v>
      </c>
      <c r="B54" s="61" t="s">
        <v>132</v>
      </c>
      <c r="C54" s="62">
        <f t="shared" si="0"/>
        <v>0</v>
      </c>
      <c r="D54" s="62"/>
      <c r="E54" s="62"/>
      <c r="F54" s="62"/>
      <c r="G54" s="62"/>
      <c r="H54" s="62"/>
      <c r="I54" s="62"/>
      <c r="J54" s="62"/>
      <c r="K54" s="62">
        <f t="shared" si="1"/>
        <v>0</v>
      </c>
      <c r="L54" s="45"/>
      <c r="M54" s="63"/>
    </row>
    <row r="55" spans="1:12" s="63" customFormat="1" ht="12.75">
      <c r="A55" s="77">
        <v>130000</v>
      </c>
      <c r="B55" s="65" t="s">
        <v>133</v>
      </c>
      <c r="C55" s="81">
        <f>D55+E55+F55+G55</f>
        <v>25357.4</v>
      </c>
      <c r="D55" s="81">
        <f>1439.7+14.8-165.8</f>
        <v>1288.7</v>
      </c>
      <c r="E55" s="81">
        <f>27.5</f>
        <v>27.5</v>
      </c>
      <c r="F55" s="81">
        <f>19267.9+60+4500+5.5+165.8</f>
        <v>23999.2</v>
      </c>
      <c r="G55" s="81">
        <f>49-7</f>
        <v>42</v>
      </c>
      <c r="H55" s="81"/>
      <c r="I55" s="81"/>
      <c r="J55" s="81"/>
      <c r="K55" s="81">
        <f t="shared" si="1"/>
        <v>25357.4</v>
      </c>
      <c r="L55" s="69"/>
    </row>
    <row r="56" spans="1:12" s="63" customFormat="1" ht="12.75">
      <c r="A56" s="77">
        <v>150000</v>
      </c>
      <c r="B56" s="65" t="s">
        <v>134</v>
      </c>
      <c r="C56" s="66">
        <f t="shared" si="0"/>
        <v>0</v>
      </c>
      <c r="D56" s="66"/>
      <c r="E56" s="66"/>
      <c r="F56" s="66"/>
      <c r="G56" s="66"/>
      <c r="H56" s="66">
        <f>SUM(H57:H59)</f>
        <v>39598.899999999994</v>
      </c>
      <c r="I56" s="66">
        <f>SUM(I57:I59)</f>
        <v>39598.899999999994</v>
      </c>
      <c r="J56" s="66">
        <f>J57</f>
        <v>1470.4</v>
      </c>
      <c r="K56" s="66">
        <f t="shared" si="1"/>
        <v>39598.899999999994</v>
      </c>
      <c r="L56" s="69"/>
    </row>
    <row r="57" spans="1:13" ht="12.75">
      <c r="A57" s="74">
        <v>150100</v>
      </c>
      <c r="B57" s="61" t="s">
        <v>135</v>
      </c>
      <c r="C57" s="62">
        <f t="shared" si="0"/>
        <v>0</v>
      </c>
      <c r="D57" s="62"/>
      <c r="E57" s="62"/>
      <c r="F57" s="62"/>
      <c r="G57" s="62"/>
      <c r="H57" s="62">
        <f>7890+110+22506.3+1000+J57+740+400</f>
        <v>34116.7</v>
      </c>
      <c r="I57" s="62">
        <f>1500.4+7890+110+22506.3+1000+740+400-10-20</f>
        <v>34116.7</v>
      </c>
      <c r="J57" s="62">
        <f>1500.4-10-20</f>
        <v>1470.4</v>
      </c>
      <c r="K57" s="62">
        <f t="shared" si="1"/>
        <v>34116.7</v>
      </c>
      <c r="L57" s="45"/>
      <c r="M57" s="63"/>
    </row>
    <row r="58" spans="1:13" ht="25.5">
      <c r="A58" s="74">
        <v>150107</v>
      </c>
      <c r="B58" s="61" t="s">
        <v>136</v>
      </c>
      <c r="C58" s="62">
        <f t="shared" si="0"/>
        <v>0</v>
      </c>
      <c r="D58" s="62"/>
      <c r="E58" s="62"/>
      <c r="F58" s="62"/>
      <c r="G58" s="62"/>
      <c r="H58" s="62">
        <v>5482.2</v>
      </c>
      <c r="I58" s="62">
        <v>5482.2</v>
      </c>
      <c r="J58" s="62"/>
      <c r="K58" s="62">
        <f t="shared" si="1"/>
        <v>5482.2</v>
      </c>
      <c r="L58" s="45"/>
      <c r="M58" s="63"/>
    </row>
    <row r="59" spans="1:13" ht="12.75" hidden="1">
      <c r="A59" s="74">
        <v>150200</v>
      </c>
      <c r="B59" s="61" t="s">
        <v>137</v>
      </c>
      <c r="C59" s="62">
        <f t="shared" si="0"/>
        <v>0</v>
      </c>
      <c r="D59" s="62"/>
      <c r="E59" s="62"/>
      <c r="F59" s="62"/>
      <c r="G59" s="62"/>
      <c r="H59" s="62"/>
      <c r="I59" s="62"/>
      <c r="J59" s="62"/>
      <c r="K59" s="62">
        <f t="shared" si="1"/>
        <v>0</v>
      </c>
      <c r="L59" s="45"/>
      <c r="M59" s="63"/>
    </row>
    <row r="60" spans="1:12" s="63" customFormat="1" ht="37.5" customHeight="1">
      <c r="A60" s="77">
        <v>160000</v>
      </c>
      <c r="B60" s="65" t="s">
        <v>138</v>
      </c>
      <c r="C60" s="66">
        <f>D60+E60+F60+G60</f>
        <v>3000</v>
      </c>
      <c r="D60" s="66"/>
      <c r="E60" s="66"/>
      <c r="F60" s="66">
        <f>F61</f>
        <v>3000</v>
      </c>
      <c r="G60" s="66"/>
      <c r="H60" s="66">
        <f>H61</f>
        <v>0</v>
      </c>
      <c r="I60" s="66"/>
      <c r="J60" s="66"/>
      <c r="K60" s="66">
        <f t="shared" si="1"/>
        <v>3000</v>
      </c>
      <c r="L60" s="69"/>
    </row>
    <row r="61" spans="1:12" ht="38.25">
      <c r="A61" s="74">
        <v>160903</v>
      </c>
      <c r="B61" s="61" t="s">
        <v>139</v>
      </c>
      <c r="C61" s="62">
        <f>D61+E61+F61+G61</f>
        <v>3000</v>
      </c>
      <c r="D61" s="62"/>
      <c r="E61" s="62"/>
      <c r="F61" s="62">
        <f>3500+5000-5000-500</f>
        <v>3000</v>
      </c>
      <c r="G61" s="62"/>
      <c r="H61" s="62"/>
      <c r="I61" s="62"/>
      <c r="J61" s="62"/>
      <c r="K61" s="62">
        <f t="shared" si="1"/>
        <v>3000</v>
      </c>
      <c r="L61" s="45"/>
    </row>
    <row r="62" spans="1:12" s="63" customFormat="1" ht="52.5" customHeight="1">
      <c r="A62" s="77">
        <v>170000</v>
      </c>
      <c r="B62" s="82" t="s">
        <v>140</v>
      </c>
      <c r="C62" s="66">
        <f t="shared" si="0"/>
        <v>0</v>
      </c>
      <c r="D62" s="66"/>
      <c r="E62" s="66"/>
      <c r="F62" s="66"/>
      <c r="G62" s="66"/>
      <c r="H62" s="66">
        <f>H63+H65+H67</f>
        <v>27817.1</v>
      </c>
      <c r="I62" s="66"/>
      <c r="J62" s="66">
        <f>J63+J65+J67</f>
        <v>0</v>
      </c>
      <c r="K62" s="66">
        <f t="shared" si="1"/>
        <v>27817.1</v>
      </c>
      <c r="L62" s="69"/>
    </row>
    <row r="63" spans="1:13" ht="11.25" customHeight="1" hidden="1">
      <c r="A63" s="74">
        <v>170100</v>
      </c>
      <c r="B63" s="61" t="s">
        <v>141</v>
      </c>
      <c r="C63" s="66">
        <f t="shared" si="0"/>
        <v>0</v>
      </c>
      <c r="D63" s="66"/>
      <c r="E63" s="66"/>
      <c r="F63" s="66"/>
      <c r="G63" s="66"/>
      <c r="H63" s="66"/>
      <c r="I63" s="66"/>
      <c r="J63" s="66"/>
      <c r="K63" s="62">
        <f t="shared" si="1"/>
        <v>0</v>
      </c>
      <c r="L63" s="45"/>
      <c r="M63" s="63"/>
    </row>
    <row r="64" spans="1:13" ht="12" customHeight="1" hidden="1">
      <c r="A64" s="70">
        <v>170102</v>
      </c>
      <c r="B64" s="61" t="s">
        <v>142</v>
      </c>
      <c r="C64" s="66">
        <f t="shared" si="0"/>
        <v>0</v>
      </c>
      <c r="D64" s="66"/>
      <c r="E64" s="66"/>
      <c r="F64" s="66"/>
      <c r="G64" s="66"/>
      <c r="H64" s="66"/>
      <c r="I64" s="66"/>
      <c r="J64" s="66"/>
      <c r="K64" s="62">
        <f t="shared" si="1"/>
        <v>0</v>
      </c>
      <c r="L64" s="45"/>
      <c r="M64" s="63"/>
    </row>
    <row r="65" spans="1:13" ht="12" customHeight="1" hidden="1">
      <c r="A65" s="74">
        <v>170600</v>
      </c>
      <c r="B65" s="61" t="s">
        <v>143</v>
      </c>
      <c r="C65" s="66">
        <f t="shared" si="0"/>
        <v>0</v>
      </c>
      <c r="D65" s="66"/>
      <c r="E65" s="66"/>
      <c r="F65" s="66"/>
      <c r="G65" s="66"/>
      <c r="H65" s="66"/>
      <c r="I65" s="66"/>
      <c r="J65" s="66"/>
      <c r="K65" s="62">
        <f t="shared" si="1"/>
        <v>0</v>
      </c>
      <c r="L65" s="45"/>
      <c r="M65" s="63"/>
    </row>
    <row r="66" spans="1:13" ht="13.5" customHeight="1" hidden="1">
      <c r="A66" s="74">
        <v>170602</v>
      </c>
      <c r="B66" s="61" t="s">
        <v>144</v>
      </c>
      <c r="C66" s="66">
        <f t="shared" si="0"/>
        <v>0</v>
      </c>
      <c r="D66" s="66"/>
      <c r="E66" s="66"/>
      <c r="F66" s="66"/>
      <c r="G66" s="66"/>
      <c r="H66" s="66"/>
      <c r="I66" s="66"/>
      <c r="J66" s="66"/>
      <c r="K66" s="62">
        <f t="shared" si="1"/>
        <v>0</v>
      </c>
      <c r="L66" s="45"/>
      <c r="M66" s="63"/>
    </row>
    <row r="67" spans="1:13" ht="12.75">
      <c r="A67" s="74">
        <v>170700</v>
      </c>
      <c r="B67" s="61" t="s">
        <v>145</v>
      </c>
      <c r="C67" s="62">
        <f t="shared" si="0"/>
        <v>0</v>
      </c>
      <c r="D67" s="62"/>
      <c r="E67" s="62"/>
      <c r="F67" s="62"/>
      <c r="G67" s="62"/>
      <c r="H67" s="62">
        <f>H68</f>
        <v>27817.1</v>
      </c>
      <c r="I67" s="62"/>
      <c r="J67" s="62">
        <f>J68</f>
        <v>0</v>
      </c>
      <c r="K67" s="62">
        <f t="shared" si="1"/>
        <v>27817.1</v>
      </c>
      <c r="L67" s="45"/>
      <c r="M67" s="63"/>
    </row>
    <row r="68" spans="1:13" ht="63" customHeight="1">
      <c r="A68" s="74">
        <v>170703</v>
      </c>
      <c r="B68" s="61" t="s">
        <v>146</v>
      </c>
      <c r="C68" s="62">
        <f t="shared" si="0"/>
        <v>0</v>
      </c>
      <c r="D68" s="62"/>
      <c r="E68" s="62"/>
      <c r="F68" s="62"/>
      <c r="G68" s="62"/>
      <c r="H68" s="62">
        <f>26567.1+1250</f>
        <v>27817.1</v>
      </c>
      <c r="I68" s="62"/>
      <c r="J68" s="62"/>
      <c r="K68" s="62">
        <f t="shared" si="1"/>
        <v>27817.1</v>
      </c>
      <c r="L68" s="45"/>
      <c r="M68" s="63"/>
    </row>
    <row r="69" spans="1:13" ht="36.75" customHeight="1">
      <c r="A69" s="77">
        <v>180109</v>
      </c>
      <c r="B69" s="65" t="s">
        <v>147</v>
      </c>
      <c r="C69" s="66">
        <f t="shared" si="0"/>
        <v>4794.5</v>
      </c>
      <c r="D69" s="62"/>
      <c r="E69" s="62"/>
      <c r="F69" s="66">
        <f>4960-155.5-10</f>
        <v>4794.5</v>
      </c>
      <c r="G69" s="62"/>
      <c r="H69" s="66"/>
      <c r="I69" s="62"/>
      <c r="J69" s="62"/>
      <c r="K69" s="66">
        <f t="shared" si="1"/>
        <v>4794.5</v>
      </c>
      <c r="L69" s="45"/>
      <c r="M69" s="63"/>
    </row>
    <row r="70" spans="1:13" ht="25.5" customHeight="1">
      <c r="A70" s="77">
        <v>180404</v>
      </c>
      <c r="B70" s="65" t="s">
        <v>148</v>
      </c>
      <c r="C70" s="66">
        <f t="shared" si="0"/>
        <v>200</v>
      </c>
      <c r="D70" s="62"/>
      <c r="E70" s="62"/>
      <c r="F70" s="66">
        <v>200</v>
      </c>
      <c r="G70" s="62"/>
      <c r="H70" s="66"/>
      <c r="I70" s="62"/>
      <c r="J70" s="62"/>
      <c r="K70" s="66">
        <f t="shared" si="1"/>
        <v>200</v>
      </c>
      <c r="L70" s="45"/>
      <c r="M70" s="63"/>
    </row>
    <row r="71" spans="1:13" ht="89.25">
      <c r="A71" s="55" t="s">
        <v>149</v>
      </c>
      <c r="B71" s="82" t="s">
        <v>150</v>
      </c>
      <c r="C71" s="66">
        <f t="shared" si="0"/>
        <v>0</v>
      </c>
      <c r="D71" s="62"/>
      <c r="E71" s="62"/>
      <c r="F71" s="66"/>
      <c r="G71" s="62"/>
      <c r="H71" s="66">
        <v>10</v>
      </c>
      <c r="I71" s="62">
        <v>10</v>
      </c>
      <c r="J71" s="62"/>
      <c r="K71" s="66">
        <f t="shared" si="1"/>
        <v>10</v>
      </c>
      <c r="L71" s="45"/>
      <c r="M71" s="63"/>
    </row>
    <row r="72" spans="1:12" s="63" customFormat="1" ht="39" customHeight="1">
      <c r="A72" s="77">
        <v>180410</v>
      </c>
      <c r="B72" s="65" t="s">
        <v>151</v>
      </c>
      <c r="C72" s="66">
        <f t="shared" si="0"/>
        <v>14.5</v>
      </c>
      <c r="D72" s="66"/>
      <c r="E72" s="66"/>
      <c r="F72" s="66">
        <v>14.5</v>
      </c>
      <c r="G72" s="66"/>
      <c r="H72" s="66"/>
      <c r="I72" s="66"/>
      <c r="J72" s="66"/>
      <c r="K72" s="66">
        <f t="shared" si="1"/>
        <v>14.5</v>
      </c>
      <c r="L72" s="69"/>
    </row>
    <row r="73" spans="1:12" s="63" customFormat="1" ht="24" customHeight="1">
      <c r="A73" s="77">
        <v>200200</v>
      </c>
      <c r="B73" s="65" t="s">
        <v>152</v>
      </c>
      <c r="C73" s="66">
        <f t="shared" si="0"/>
        <v>0</v>
      </c>
      <c r="D73" s="66"/>
      <c r="E73" s="66"/>
      <c r="F73" s="66"/>
      <c r="G73" s="66"/>
      <c r="H73" s="66">
        <v>742.9</v>
      </c>
      <c r="I73" s="66"/>
      <c r="J73" s="66"/>
      <c r="K73" s="66">
        <f t="shared" si="1"/>
        <v>742.9</v>
      </c>
      <c r="L73" s="69"/>
    </row>
    <row r="74" spans="1:12" s="63" customFormat="1" ht="48.75" customHeight="1">
      <c r="A74" s="77">
        <v>210000</v>
      </c>
      <c r="B74" s="65" t="s">
        <v>153</v>
      </c>
      <c r="C74" s="66">
        <f>D74+E74+F74+G74</f>
        <v>5315.300000000001</v>
      </c>
      <c r="D74" s="66"/>
      <c r="E74" s="66"/>
      <c r="F74" s="66">
        <f>1533+200+668.3+200+630+557+100+388.1+229.5+0.1</f>
        <v>4506.000000000001</v>
      </c>
      <c r="G74" s="66">
        <f>825+4.3-20</f>
        <v>809.3</v>
      </c>
      <c r="H74" s="66"/>
      <c r="I74" s="66"/>
      <c r="J74" s="66"/>
      <c r="K74" s="66">
        <f t="shared" si="1"/>
        <v>5315.300000000001</v>
      </c>
      <c r="L74" s="69"/>
    </row>
    <row r="75" spans="1:12" s="63" customFormat="1" ht="13.5" customHeight="1">
      <c r="A75" s="77">
        <v>230000</v>
      </c>
      <c r="B75" s="65" t="s">
        <v>154</v>
      </c>
      <c r="C75" s="66">
        <f t="shared" si="0"/>
        <v>0.1</v>
      </c>
      <c r="D75" s="66"/>
      <c r="E75" s="66"/>
      <c r="F75" s="66">
        <v>0.1</v>
      </c>
      <c r="G75" s="66"/>
      <c r="H75" s="66"/>
      <c r="I75" s="66"/>
      <c r="J75" s="66"/>
      <c r="K75" s="66">
        <f t="shared" si="1"/>
        <v>0.1</v>
      </c>
      <c r="L75" s="69"/>
    </row>
    <row r="76" spans="1:12" s="63" customFormat="1" ht="13.5" customHeight="1">
      <c r="A76" s="83">
        <v>240000</v>
      </c>
      <c r="B76" s="65" t="s">
        <v>40</v>
      </c>
      <c r="C76" s="66">
        <f t="shared" si="0"/>
        <v>0</v>
      </c>
      <c r="D76" s="66">
        <f>D78+D82</f>
        <v>0</v>
      </c>
      <c r="E76" s="66">
        <f>E78+E82</f>
        <v>0</v>
      </c>
      <c r="F76" s="66">
        <f>F78+F82</f>
        <v>0</v>
      </c>
      <c r="G76" s="66"/>
      <c r="H76" s="66">
        <f>H78+H82+H77</f>
        <v>27671.699999999997</v>
      </c>
      <c r="I76" s="66"/>
      <c r="J76" s="66"/>
      <c r="K76" s="66">
        <f t="shared" si="1"/>
        <v>27671.699999999997</v>
      </c>
      <c r="L76" s="69"/>
    </row>
    <row r="77" spans="1:12" s="63" customFormat="1" ht="26.25" customHeight="1">
      <c r="A77" s="74">
        <v>240600</v>
      </c>
      <c r="B77" s="61" t="s">
        <v>155</v>
      </c>
      <c r="C77" s="62">
        <f t="shared" si="0"/>
        <v>0</v>
      </c>
      <c r="D77" s="66"/>
      <c r="E77" s="66"/>
      <c r="F77" s="66"/>
      <c r="G77" s="66"/>
      <c r="H77" s="62">
        <f>23470.6+1590+550</f>
        <v>25610.6</v>
      </c>
      <c r="I77" s="66"/>
      <c r="J77" s="66"/>
      <c r="K77" s="62">
        <f>C77+H77</f>
        <v>25610.6</v>
      </c>
      <c r="L77" s="69"/>
    </row>
    <row r="78" spans="1:13" ht="38.25" hidden="1">
      <c r="A78" s="74">
        <v>240601</v>
      </c>
      <c r="B78" s="61" t="s">
        <v>156</v>
      </c>
      <c r="C78" s="62">
        <f t="shared" si="0"/>
        <v>0</v>
      </c>
      <c r="D78" s="62"/>
      <c r="E78" s="62"/>
      <c r="F78" s="62"/>
      <c r="G78" s="62"/>
      <c r="H78" s="62"/>
      <c r="I78" s="62"/>
      <c r="J78" s="62"/>
      <c r="K78" s="62">
        <f t="shared" si="1"/>
        <v>0</v>
      </c>
      <c r="L78" s="45"/>
      <c r="M78" s="63"/>
    </row>
    <row r="79" spans="1:13" ht="12.75" hidden="1">
      <c r="A79" s="74">
        <v>240602</v>
      </c>
      <c r="B79" s="61" t="s">
        <v>157</v>
      </c>
      <c r="C79" s="62">
        <f t="shared" si="0"/>
        <v>0</v>
      </c>
      <c r="D79" s="62"/>
      <c r="E79" s="62"/>
      <c r="F79" s="62"/>
      <c r="G79" s="62"/>
      <c r="H79" s="62"/>
      <c r="I79" s="62"/>
      <c r="J79" s="62"/>
      <c r="K79" s="62">
        <f t="shared" si="1"/>
        <v>0</v>
      </c>
      <c r="L79" s="45"/>
      <c r="M79" s="63"/>
    </row>
    <row r="80" spans="1:13" ht="38.25" hidden="1">
      <c r="A80" s="74">
        <v>240603</v>
      </c>
      <c r="B80" s="61" t="s">
        <v>158</v>
      </c>
      <c r="C80" s="62">
        <f t="shared" si="0"/>
        <v>0</v>
      </c>
      <c r="D80" s="62"/>
      <c r="E80" s="62"/>
      <c r="F80" s="62"/>
      <c r="G80" s="62"/>
      <c r="H80" s="62"/>
      <c r="I80" s="62"/>
      <c r="J80" s="62"/>
      <c r="K80" s="62">
        <f t="shared" si="1"/>
        <v>0</v>
      </c>
      <c r="L80" s="45"/>
      <c r="M80" s="63"/>
    </row>
    <row r="81" spans="1:13" ht="25.5" hidden="1">
      <c r="A81" s="74">
        <v>240604</v>
      </c>
      <c r="B81" s="61" t="s">
        <v>159</v>
      </c>
      <c r="C81" s="62">
        <f aca="true" t="shared" si="4" ref="C81:C96">D81+E81+F81</f>
        <v>0</v>
      </c>
      <c r="D81" s="62"/>
      <c r="E81" s="62"/>
      <c r="F81" s="62"/>
      <c r="G81" s="62"/>
      <c r="H81" s="62"/>
      <c r="I81" s="62"/>
      <c r="J81" s="62"/>
      <c r="K81" s="62">
        <f aca="true" t="shared" si="5" ref="K81:K97">C81+H81</f>
        <v>0</v>
      </c>
      <c r="L81" s="45"/>
      <c r="M81" s="63"/>
    </row>
    <row r="82" spans="1:13" ht="63.75">
      <c r="A82" s="74">
        <v>240900</v>
      </c>
      <c r="B82" s="61" t="s">
        <v>160</v>
      </c>
      <c r="C82" s="62">
        <f>D82+E82+F82</f>
        <v>0</v>
      </c>
      <c r="D82" s="62"/>
      <c r="E82" s="62"/>
      <c r="F82" s="62"/>
      <c r="G82" s="62"/>
      <c r="H82" s="62">
        <f>2061.1</f>
        <v>2061.1</v>
      </c>
      <c r="I82" s="62"/>
      <c r="J82" s="62"/>
      <c r="K82" s="62">
        <f>C82+H82</f>
        <v>2061.1</v>
      </c>
      <c r="L82" s="45"/>
      <c r="M82" s="63"/>
    </row>
    <row r="83" spans="1:12" s="63" customFormat="1" ht="25.5">
      <c r="A83" s="77">
        <v>250000</v>
      </c>
      <c r="B83" s="65" t="s">
        <v>229</v>
      </c>
      <c r="C83" s="66">
        <f t="shared" si="4"/>
        <v>855.5</v>
      </c>
      <c r="D83" s="66">
        <f>SUM(D84:D86)</f>
        <v>0</v>
      </c>
      <c r="E83" s="66">
        <f>SUM(E84:E86)</f>
        <v>0</v>
      </c>
      <c r="F83" s="66">
        <f>SUM(F84:F88)</f>
        <v>855.5</v>
      </c>
      <c r="G83" s="66"/>
      <c r="H83" s="66"/>
      <c r="I83" s="66"/>
      <c r="J83" s="66"/>
      <c r="K83" s="66">
        <f t="shared" si="5"/>
        <v>855.5</v>
      </c>
      <c r="L83" s="69"/>
    </row>
    <row r="84" spans="1:13" ht="12.75">
      <c r="A84" s="74">
        <v>250102</v>
      </c>
      <c r="B84" s="61" t="s">
        <v>161</v>
      </c>
      <c r="C84" s="62">
        <f>D84+E84+F84</f>
        <v>627</v>
      </c>
      <c r="D84" s="62"/>
      <c r="E84" s="62"/>
      <c r="F84" s="62">
        <f>3500-2000-200-668.3+800-630-557+1000-388.1-229.5-0.1</f>
        <v>627</v>
      </c>
      <c r="G84" s="62"/>
      <c r="H84" s="62"/>
      <c r="I84" s="62"/>
      <c r="J84" s="62"/>
      <c r="K84" s="62">
        <f t="shared" si="5"/>
        <v>627</v>
      </c>
      <c r="L84" s="45"/>
      <c r="M84" s="63"/>
    </row>
    <row r="85" spans="1:13" ht="24" customHeight="1">
      <c r="A85" s="74">
        <v>250203</v>
      </c>
      <c r="B85" s="61" t="s">
        <v>162</v>
      </c>
      <c r="C85" s="62">
        <f t="shared" si="4"/>
        <v>3.4</v>
      </c>
      <c r="D85" s="62"/>
      <c r="E85" s="62"/>
      <c r="F85" s="62">
        <v>3.4</v>
      </c>
      <c r="G85" s="62"/>
      <c r="H85" s="62"/>
      <c r="I85" s="62"/>
      <c r="J85" s="62"/>
      <c r="K85" s="62">
        <f t="shared" si="5"/>
        <v>3.4</v>
      </c>
      <c r="L85" s="45"/>
      <c r="M85" s="63"/>
    </row>
    <row r="86" spans="1:13" ht="12.75" hidden="1">
      <c r="A86" s="74">
        <v>250404</v>
      </c>
      <c r="B86" s="61" t="s">
        <v>163</v>
      </c>
      <c r="C86" s="62">
        <f t="shared" si="4"/>
        <v>0</v>
      </c>
      <c r="D86" s="62"/>
      <c r="E86" s="62"/>
      <c r="F86" s="62"/>
      <c r="G86" s="62"/>
      <c r="H86" s="62"/>
      <c r="I86" s="62"/>
      <c r="J86" s="62"/>
      <c r="K86" s="62">
        <f t="shared" si="5"/>
        <v>0</v>
      </c>
      <c r="L86" s="45"/>
      <c r="M86" s="63"/>
    </row>
    <row r="87" spans="1:12" s="63" customFormat="1" ht="28.5" customHeight="1" hidden="1">
      <c r="A87" s="77"/>
      <c r="B87" s="84"/>
      <c r="C87" s="66"/>
      <c r="D87" s="66"/>
      <c r="E87" s="66"/>
      <c r="F87" s="66"/>
      <c r="G87" s="66"/>
      <c r="H87" s="66"/>
      <c r="I87" s="66"/>
      <c r="J87" s="66"/>
      <c r="K87" s="62">
        <f t="shared" si="5"/>
        <v>0</v>
      </c>
      <c r="L87" s="69"/>
    </row>
    <row r="88" spans="1:13" ht="12.75">
      <c r="A88" s="74">
        <v>250404</v>
      </c>
      <c r="B88" s="61" t="s">
        <v>164</v>
      </c>
      <c r="C88" s="62">
        <f t="shared" si="4"/>
        <v>225.1</v>
      </c>
      <c r="D88" s="62"/>
      <c r="E88" s="62"/>
      <c r="F88" s="62">
        <f>225.1</f>
        <v>225.1</v>
      </c>
      <c r="G88" s="62"/>
      <c r="H88" s="62"/>
      <c r="I88" s="62"/>
      <c r="J88" s="62"/>
      <c r="K88" s="62">
        <f t="shared" si="5"/>
        <v>225.1</v>
      </c>
      <c r="L88" s="45"/>
      <c r="M88" s="63"/>
    </row>
    <row r="89" spans="1:13" s="63" customFormat="1" ht="12.75">
      <c r="A89" s="77"/>
      <c r="B89" s="65" t="s">
        <v>165</v>
      </c>
      <c r="C89" s="66">
        <f>D89+E89+F89+G89</f>
        <v>434644.80000000005</v>
      </c>
      <c r="D89" s="66">
        <f>D83+D76+D75+D74+D72+D70+D69+D62+D56+D55+D49+D45+D41+D26+D25+D24+D15+D13+D87+D60</f>
        <v>124966.2</v>
      </c>
      <c r="E89" s="66">
        <f>E83+E76+E75+E74+E72+E70+E69+E62+E56+E55+E49+E45+E41+E26+E25+E24+E15+E13+E87+E60</f>
        <v>31320</v>
      </c>
      <c r="F89" s="66">
        <f>F83+F76+F75+F74+F72+F70+F69+F62+F56+F55+F49+F45+F41+F26+F25+F24+F15+F13+F87+F60</f>
        <v>249246.10000000003</v>
      </c>
      <c r="G89" s="66">
        <f>G83+G76+G75+G74+G72+G70+G69+G62+G56+G55+G49+G45+G41+G26+G25+G24+G15+G13+G87+G60</f>
        <v>29112.500000000004</v>
      </c>
      <c r="H89" s="66">
        <f>H83+H76+H75+H74+H72+H62+H56+H55+H49+H45+H41+H26+H25+H24+H15+H13+H87+H73+H60+H71</f>
        <v>113672.49999999997</v>
      </c>
      <c r="I89" s="66">
        <f>I83+I76+I75+I74+I72+I62+I56+I55+I49+I45+I41+I26+I25+I24+I15+I13+I87+I73+I60+I71</f>
        <v>40951.399999999994</v>
      </c>
      <c r="J89" s="66">
        <f>J83+J76+J75+J74+J72+J62+J56+J55+J49+J45+J41+J26+J25+J24+J15+J13+J87+J73+J60</f>
        <v>1470.4</v>
      </c>
      <c r="K89" s="66">
        <f>K83+K76+K75+K74+K72+K62+K56+K55+K49+K45+K41+K26+K25+K24+K15+K13+K87+K73+K60+K71</f>
        <v>543322.8</v>
      </c>
      <c r="L89" s="69">
        <v>39831.4</v>
      </c>
      <c r="M89" s="85"/>
    </row>
    <row r="90" spans="1:12" s="63" customFormat="1" ht="28.5" customHeight="1" hidden="1">
      <c r="A90" s="77"/>
      <c r="B90" s="84" t="s">
        <v>166</v>
      </c>
      <c r="C90" s="66">
        <f>D90+E90+F90</f>
        <v>0</v>
      </c>
      <c r="D90" s="66"/>
      <c r="E90" s="66"/>
      <c r="F90" s="66">
        <f>380512.3-338534.6-9012.3-13387.8-19577.6</f>
        <v>0</v>
      </c>
      <c r="G90" s="66"/>
      <c r="H90" s="66"/>
      <c r="I90" s="66"/>
      <c r="J90" s="66"/>
      <c r="K90" s="66">
        <f>C90+H90</f>
        <v>0</v>
      </c>
      <c r="L90" s="69"/>
    </row>
    <row r="91" spans="1:59" ht="38.25">
      <c r="A91" s="86" t="s">
        <v>167</v>
      </c>
      <c r="B91" s="71" t="s">
        <v>168</v>
      </c>
      <c r="C91" s="87">
        <f>D91+E91+F91+G91</f>
        <v>159.6</v>
      </c>
      <c r="D91" s="62"/>
      <c r="E91" s="62"/>
      <c r="F91" s="62">
        <f>163-3.4</f>
        <v>159.6</v>
      </c>
      <c r="G91" s="88"/>
      <c r="H91" s="88"/>
      <c r="I91" s="62"/>
      <c r="J91" s="62"/>
      <c r="K91" s="62">
        <f>C91+H91</f>
        <v>159.6</v>
      </c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</row>
    <row r="92" spans="1:13" ht="38.25">
      <c r="A92" s="74">
        <v>250306</v>
      </c>
      <c r="B92" s="61" t="s">
        <v>169</v>
      </c>
      <c r="C92" s="62">
        <f t="shared" si="4"/>
        <v>15512.2</v>
      </c>
      <c r="D92" s="66"/>
      <c r="E92" s="66"/>
      <c r="F92" s="62">
        <f>7890+5482.2+1000+740+400</f>
        <v>15512.2</v>
      </c>
      <c r="G92" s="66"/>
      <c r="H92" s="66"/>
      <c r="I92" s="66"/>
      <c r="J92" s="66"/>
      <c r="K92" s="62">
        <f t="shared" si="5"/>
        <v>15512.2</v>
      </c>
      <c r="L92" s="45"/>
      <c r="M92" s="63"/>
    </row>
    <row r="93" spans="1:13" ht="109.5" customHeight="1">
      <c r="A93" s="74">
        <v>250313</v>
      </c>
      <c r="B93" s="19" t="s">
        <v>236</v>
      </c>
      <c r="C93" s="62">
        <f t="shared" si="4"/>
        <v>10279.1</v>
      </c>
      <c r="D93" s="62"/>
      <c r="E93" s="62"/>
      <c r="F93" s="62">
        <v>10279.1</v>
      </c>
      <c r="G93" s="62"/>
      <c r="H93" s="62"/>
      <c r="I93" s="62"/>
      <c r="J93" s="62"/>
      <c r="K93" s="62">
        <f t="shared" si="5"/>
        <v>10279.1</v>
      </c>
      <c r="L93" s="45"/>
      <c r="M93" s="63"/>
    </row>
    <row r="94" spans="1:13" ht="25.5">
      <c r="A94" s="74">
        <v>250301</v>
      </c>
      <c r="B94" s="90" t="s">
        <v>170</v>
      </c>
      <c r="C94" s="62">
        <f t="shared" si="4"/>
        <v>62744.8</v>
      </c>
      <c r="D94" s="62"/>
      <c r="E94" s="62"/>
      <c r="F94" s="62">
        <v>62744.8</v>
      </c>
      <c r="G94" s="62"/>
      <c r="H94" s="62"/>
      <c r="I94" s="62"/>
      <c r="J94" s="62"/>
      <c r="K94" s="62">
        <f t="shared" si="5"/>
        <v>62744.8</v>
      </c>
      <c r="L94" s="45"/>
      <c r="M94" s="63"/>
    </row>
    <row r="95" spans="1:13" ht="12.75">
      <c r="A95" s="74">
        <v>250350</v>
      </c>
      <c r="B95" s="90" t="s">
        <v>171</v>
      </c>
      <c r="C95" s="62">
        <f>F95</f>
        <v>7950</v>
      </c>
      <c r="D95" s="62"/>
      <c r="E95" s="62"/>
      <c r="F95" s="62">
        <f>5300+2450+200</f>
        <v>7950</v>
      </c>
      <c r="G95" s="62"/>
      <c r="H95" s="62"/>
      <c r="I95" s="62"/>
      <c r="J95" s="62"/>
      <c r="K95" s="62">
        <f t="shared" si="5"/>
        <v>7950</v>
      </c>
      <c r="L95" s="45"/>
      <c r="M95" s="63"/>
    </row>
    <row r="96" spans="1:13" ht="12.75">
      <c r="A96" s="74">
        <v>250904</v>
      </c>
      <c r="B96" s="90" t="s">
        <v>172</v>
      </c>
      <c r="C96" s="62">
        <f t="shared" si="4"/>
        <v>0</v>
      </c>
      <c r="D96" s="62"/>
      <c r="E96" s="62"/>
      <c r="F96" s="62"/>
      <c r="G96" s="62"/>
      <c r="H96" s="62">
        <v>-10</v>
      </c>
      <c r="I96" s="62">
        <v>-10</v>
      </c>
      <c r="J96" s="62"/>
      <c r="K96" s="62">
        <f>C96+H96</f>
        <v>-10</v>
      </c>
      <c r="L96" s="45"/>
      <c r="M96" s="63"/>
    </row>
    <row r="97" spans="1:13" s="63" customFormat="1" ht="12.75">
      <c r="A97" s="91"/>
      <c r="B97" s="65" t="s">
        <v>173</v>
      </c>
      <c r="C97" s="66">
        <f>C89+C93+C96+C94+C92+C90+C91+C95</f>
        <v>531290.5</v>
      </c>
      <c r="D97" s="66">
        <f>D89+D93+D96+D94+D92+D90+D91</f>
        <v>124966.2</v>
      </c>
      <c r="E97" s="66">
        <f>E89+E93+E96+E94+E92+E90+E91</f>
        <v>31320</v>
      </c>
      <c r="F97" s="66">
        <f>F89+F93+F96+F94+F92+F90+F91+F95</f>
        <v>345891.80000000005</v>
      </c>
      <c r="G97" s="66">
        <f>G89+G93+G96+G94+G92</f>
        <v>29112.500000000004</v>
      </c>
      <c r="H97" s="66">
        <f>H89+H93+H96</f>
        <v>113662.49999999997</v>
      </c>
      <c r="I97" s="66">
        <f>I89+I93+I96</f>
        <v>40941.399999999994</v>
      </c>
      <c r="J97" s="66">
        <f>J89+J93+J96</f>
        <v>1470.4</v>
      </c>
      <c r="K97" s="66">
        <f t="shared" si="5"/>
        <v>644953</v>
      </c>
      <c r="L97" s="69"/>
      <c r="M97" s="85"/>
    </row>
    <row r="98" spans="3:11" ht="12.75">
      <c r="C98" s="92"/>
      <c r="D98" s="92"/>
      <c r="E98" s="92"/>
      <c r="F98" s="92"/>
      <c r="G98" s="92"/>
      <c r="H98" s="92"/>
      <c r="I98" s="92"/>
      <c r="J98" s="92"/>
      <c r="K98" s="92"/>
    </row>
    <row r="99" ht="12.75" hidden="1">
      <c r="C99" s="93"/>
    </row>
    <row r="100" ht="12.75">
      <c r="C100" s="93"/>
    </row>
    <row r="101" spans="3:11" ht="12.75"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6:8" ht="12.75">
      <c r="F102" s="93"/>
      <c r="G102" s="93"/>
      <c r="H102" s="93"/>
    </row>
  </sheetData>
  <mergeCells count="12">
    <mergeCell ref="H1:J1"/>
    <mergeCell ref="A6:H6"/>
    <mergeCell ref="A7:H7"/>
    <mergeCell ref="A9:A11"/>
    <mergeCell ref="B9:B11"/>
    <mergeCell ref="C9:G9"/>
    <mergeCell ref="H9:J9"/>
    <mergeCell ref="K9:K11"/>
    <mergeCell ref="C10:C11"/>
    <mergeCell ref="D10:G10"/>
    <mergeCell ref="H10:H11"/>
    <mergeCell ref="J10:J11"/>
  </mergeCells>
  <printOptions/>
  <pageMargins left="0.5511811023622047" right="0.3937007874015748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223"/>
  <sheetViews>
    <sheetView view="pageBreakPreview" zoomScale="65" zoomScaleNormal="65" zoomScaleSheetLayoutView="65" workbookViewId="0" topLeftCell="A90">
      <selection activeCell="B98" sqref="B98:K99"/>
    </sheetView>
  </sheetViews>
  <sheetFormatPr defaultColWidth="9.00390625" defaultRowHeight="12.75"/>
  <cols>
    <col min="1" max="1" width="8.125" style="96" customWidth="1"/>
    <col min="2" max="2" width="30.875" style="97" customWidth="1"/>
    <col min="3" max="3" width="10.125" style="98" customWidth="1"/>
    <col min="4" max="4" width="10.00390625" style="98" customWidth="1"/>
    <col min="5" max="5" width="9.125" style="98" customWidth="1"/>
    <col min="6" max="6" width="10.125" style="98" customWidth="1"/>
    <col min="7" max="7" width="9.375" style="98" bestFit="1" customWidth="1"/>
    <col min="8" max="8" width="10.375" style="98" customWidth="1"/>
    <col min="9" max="9" width="9.625" style="98" customWidth="1"/>
    <col min="10" max="10" width="8.75390625" style="98" customWidth="1"/>
    <col min="11" max="11" width="11.25390625" style="98" customWidth="1"/>
    <col min="12" max="12" width="8.875" style="100" customWidth="1"/>
    <col min="13" max="13" width="12.125" style="100" customWidth="1"/>
    <col min="14" max="59" width="8.875" style="100" customWidth="1"/>
    <col min="60" max="16384" width="8.875" style="98" customWidth="1"/>
  </cols>
  <sheetData>
    <row r="1" spans="6:11" ht="15">
      <c r="F1" s="99"/>
      <c r="G1" s="99"/>
      <c r="H1" s="99"/>
      <c r="I1" s="99"/>
      <c r="J1" s="99"/>
      <c r="K1" s="99"/>
    </row>
    <row r="2" spans="5:11" ht="15">
      <c r="E2" s="101" t="s">
        <v>174</v>
      </c>
      <c r="H2" s="220" t="s">
        <v>175</v>
      </c>
      <c r="I2" s="220"/>
      <c r="J2" s="220"/>
      <c r="K2" s="220"/>
    </row>
    <row r="3" spans="8:11" ht="15">
      <c r="H3" s="102" t="s">
        <v>1</v>
      </c>
      <c r="I3" s="103"/>
      <c r="J3" s="103"/>
      <c r="K3" s="103"/>
    </row>
    <row r="4" spans="8:11" ht="15">
      <c r="H4" s="221"/>
      <c r="I4" s="221"/>
      <c r="J4" s="221"/>
      <c r="K4" s="221"/>
    </row>
    <row r="6" spans="1:11" ht="15">
      <c r="A6" s="222" t="s">
        <v>176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ht="15">
      <c r="A7" s="222" t="s">
        <v>177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8:11" ht="15.75" thickBot="1">
      <c r="H8" s="202" t="s">
        <v>3</v>
      </c>
      <c r="I8" s="202"/>
      <c r="J8" s="202"/>
      <c r="K8" s="202"/>
    </row>
    <row r="9" spans="1:11" ht="15.75" thickBot="1">
      <c r="A9" s="203" t="s">
        <v>54</v>
      </c>
      <c r="B9" s="206" t="s">
        <v>178</v>
      </c>
      <c r="C9" s="209" t="s">
        <v>56</v>
      </c>
      <c r="D9" s="210"/>
      <c r="E9" s="210"/>
      <c r="F9" s="210"/>
      <c r="G9" s="211"/>
      <c r="H9" s="212" t="s">
        <v>57</v>
      </c>
      <c r="I9" s="213"/>
      <c r="J9" s="214"/>
      <c r="K9" s="215" t="s">
        <v>58</v>
      </c>
    </row>
    <row r="10" spans="1:11" ht="30.75" thickBot="1">
      <c r="A10" s="204"/>
      <c r="B10" s="207"/>
      <c r="C10" s="218" t="s">
        <v>8</v>
      </c>
      <c r="D10" s="209" t="s">
        <v>59</v>
      </c>
      <c r="E10" s="210"/>
      <c r="F10" s="210"/>
      <c r="G10" s="211"/>
      <c r="H10" s="218" t="s">
        <v>8</v>
      </c>
      <c r="I10" s="104" t="s">
        <v>60</v>
      </c>
      <c r="J10" s="215" t="s">
        <v>61</v>
      </c>
      <c r="K10" s="216"/>
    </row>
    <row r="11" spans="1:11" ht="120.75" thickBot="1">
      <c r="A11" s="205"/>
      <c r="B11" s="208"/>
      <c r="C11" s="219"/>
      <c r="D11" s="104" t="s">
        <v>62</v>
      </c>
      <c r="E11" s="104" t="s">
        <v>63</v>
      </c>
      <c r="F11" s="104" t="s">
        <v>64</v>
      </c>
      <c r="G11" s="104" t="s">
        <v>179</v>
      </c>
      <c r="H11" s="219"/>
      <c r="I11" s="104" t="s">
        <v>66</v>
      </c>
      <c r="J11" s="217"/>
      <c r="K11" s="217"/>
    </row>
    <row r="12" spans="1:11" ht="15.75" thickBot="1">
      <c r="A12" s="105">
        <v>1</v>
      </c>
      <c r="B12" s="106">
        <v>2</v>
      </c>
      <c r="C12" s="107">
        <v>3</v>
      </c>
      <c r="D12" s="107">
        <v>4</v>
      </c>
      <c r="E12" s="107">
        <v>5</v>
      </c>
      <c r="F12" s="107">
        <v>6</v>
      </c>
      <c r="G12" s="107">
        <v>7</v>
      </c>
      <c r="H12" s="107">
        <v>8</v>
      </c>
      <c r="I12" s="107">
        <v>9</v>
      </c>
      <c r="J12" s="107">
        <v>10</v>
      </c>
      <c r="K12" s="107">
        <v>11</v>
      </c>
    </row>
    <row r="13" spans="1:59" s="112" customFormat="1" ht="15">
      <c r="A13" s="108"/>
      <c r="B13" s="109" t="s">
        <v>180</v>
      </c>
      <c r="C13" s="110">
        <f>SUM(C14:C23)+C86</f>
        <v>28565.5</v>
      </c>
      <c r="D13" s="110">
        <f aca="true" t="shared" si="0" ref="D13:I13">SUM(D14:D23)</f>
        <v>431.90000000000003</v>
      </c>
      <c r="E13" s="110">
        <f t="shared" si="0"/>
        <v>937.4</v>
      </c>
      <c r="F13" s="110">
        <f t="shared" si="0"/>
        <v>26424.100000000002</v>
      </c>
      <c r="G13" s="110">
        <f t="shared" si="0"/>
        <v>772.1</v>
      </c>
      <c r="H13" s="110">
        <f t="shared" si="0"/>
        <v>10</v>
      </c>
      <c r="I13" s="110">
        <f t="shared" si="0"/>
        <v>10</v>
      </c>
      <c r="J13" s="110">
        <f>SUM(J14:J23)+J86</f>
        <v>0</v>
      </c>
      <c r="K13" s="110">
        <f>SUM(K14:K23)</f>
        <v>28575.5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</row>
    <row r="14" spans="1:11" ht="30">
      <c r="A14" s="113" t="s">
        <v>69</v>
      </c>
      <c r="B14" s="114" t="s">
        <v>70</v>
      </c>
      <c r="C14" s="115">
        <f aca="true" t="shared" si="1" ref="C14:C83">D14+E14+F14+G14</f>
        <v>6113</v>
      </c>
      <c r="D14" s="116">
        <f>394.5+20+12.6+4.8</f>
        <v>431.90000000000003</v>
      </c>
      <c r="E14" s="116">
        <f>787.4+150</f>
        <v>937.4</v>
      </c>
      <c r="F14" s="116">
        <f>4631.1-20-12.6-150+300-4.8</f>
        <v>4743.7</v>
      </c>
      <c r="G14" s="116"/>
      <c r="H14" s="116"/>
      <c r="I14" s="116"/>
      <c r="J14" s="116"/>
      <c r="K14" s="116">
        <f aca="true" t="shared" si="2" ref="K14:K35">C14+H14</f>
        <v>6113</v>
      </c>
    </row>
    <row r="15" spans="1:11" ht="45">
      <c r="A15" s="113" t="s">
        <v>181</v>
      </c>
      <c r="B15" s="114" t="s">
        <v>182</v>
      </c>
      <c r="C15" s="115">
        <f t="shared" si="1"/>
        <v>36</v>
      </c>
      <c r="D15" s="116"/>
      <c r="E15" s="116"/>
      <c r="F15" s="116">
        <v>36</v>
      </c>
      <c r="G15" s="116"/>
      <c r="H15" s="116"/>
      <c r="I15" s="116"/>
      <c r="J15" s="116"/>
      <c r="K15" s="116">
        <f t="shared" si="2"/>
        <v>36</v>
      </c>
    </row>
    <row r="16" spans="1:11" ht="30">
      <c r="A16" s="113" t="s">
        <v>97</v>
      </c>
      <c r="B16" s="117" t="s">
        <v>98</v>
      </c>
      <c r="C16" s="115">
        <f t="shared" si="1"/>
        <v>27</v>
      </c>
      <c r="D16" s="116"/>
      <c r="E16" s="116"/>
      <c r="F16" s="116">
        <f>27</f>
        <v>27</v>
      </c>
      <c r="G16" s="116"/>
      <c r="H16" s="116"/>
      <c r="I16" s="116"/>
      <c r="J16" s="116"/>
      <c r="K16" s="116">
        <f t="shared" si="2"/>
        <v>27</v>
      </c>
    </row>
    <row r="17" spans="1:11" ht="60">
      <c r="A17" s="113" t="s">
        <v>183</v>
      </c>
      <c r="B17" s="118" t="s">
        <v>184</v>
      </c>
      <c r="C17" s="115">
        <f t="shared" si="1"/>
        <v>11800</v>
      </c>
      <c r="D17" s="116"/>
      <c r="E17" s="116"/>
      <c r="F17" s="116">
        <f>7300+4500</f>
        <v>11800</v>
      </c>
      <c r="G17" s="116"/>
      <c r="H17" s="116"/>
      <c r="I17" s="116"/>
      <c r="J17" s="116"/>
      <c r="K17" s="116">
        <f t="shared" si="2"/>
        <v>11800</v>
      </c>
    </row>
    <row r="18" spans="1:11" ht="15">
      <c r="A18" s="113">
        <v>250404</v>
      </c>
      <c r="B18" s="114" t="s">
        <v>185</v>
      </c>
      <c r="C18" s="115">
        <f t="shared" si="1"/>
        <v>225</v>
      </c>
      <c r="D18" s="116"/>
      <c r="E18" s="116"/>
      <c r="F18" s="116">
        <v>225</v>
      </c>
      <c r="G18" s="116"/>
      <c r="H18" s="116"/>
      <c r="I18" s="116"/>
      <c r="J18" s="116"/>
      <c r="K18" s="116">
        <f t="shared" si="2"/>
        <v>225</v>
      </c>
    </row>
    <row r="19" spans="1:11" ht="45">
      <c r="A19" s="113">
        <v>180109</v>
      </c>
      <c r="B19" s="117" t="s">
        <v>147</v>
      </c>
      <c r="C19" s="115">
        <f>D19+E19+F19+G19</f>
        <v>4394.5</v>
      </c>
      <c r="D19" s="116"/>
      <c r="E19" s="116"/>
      <c r="F19" s="116">
        <f>4960-155.5-400-10</f>
        <v>4394.5</v>
      </c>
      <c r="G19" s="116"/>
      <c r="H19" s="116"/>
      <c r="I19" s="116"/>
      <c r="J19" s="116"/>
      <c r="K19" s="116">
        <f t="shared" si="2"/>
        <v>4394.5</v>
      </c>
    </row>
    <row r="20" spans="1:11" ht="105">
      <c r="A20" s="113" t="s">
        <v>149</v>
      </c>
      <c r="B20" s="117" t="s">
        <v>150</v>
      </c>
      <c r="C20" s="115"/>
      <c r="D20" s="116"/>
      <c r="E20" s="116"/>
      <c r="F20" s="116"/>
      <c r="G20" s="116"/>
      <c r="H20" s="116">
        <v>10</v>
      </c>
      <c r="I20" s="116">
        <v>10</v>
      </c>
      <c r="J20" s="116"/>
      <c r="K20" s="116">
        <f t="shared" si="2"/>
        <v>10</v>
      </c>
    </row>
    <row r="21" spans="1:59" s="122" customFormat="1" ht="45">
      <c r="A21" s="119">
        <v>180410</v>
      </c>
      <c r="B21" s="117" t="s">
        <v>151</v>
      </c>
      <c r="C21" s="115">
        <f>D21+E21+F21+G21</f>
        <v>14.5</v>
      </c>
      <c r="D21" s="116"/>
      <c r="E21" s="116"/>
      <c r="F21" s="116">
        <v>14.5</v>
      </c>
      <c r="G21" s="120"/>
      <c r="H21" s="120"/>
      <c r="I21" s="116"/>
      <c r="J21" s="116"/>
      <c r="K21" s="116">
        <f>C21+H21</f>
        <v>14.5</v>
      </c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</row>
    <row r="22" spans="1:11" ht="30">
      <c r="A22" s="113" t="s">
        <v>186</v>
      </c>
      <c r="B22" s="117" t="s">
        <v>162</v>
      </c>
      <c r="C22" s="115">
        <f>D22+E22+F22+G22</f>
        <v>3.4</v>
      </c>
      <c r="D22" s="116"/>
      <c r="E22" s="116"/>
      <c r="F22" s="116">
        <v>3.4</v>
      </c>
      <c r="G22" s="116"/>
      <c r="H22" s="116"/>
      <c r="I22" s="116"/>
      <c r="J22" s="116"/>
      <c r="K22" s="116">
        <f t="shared" si="2"/>
        <v>3.4</v>
      </c>
    </row>
    <row r="23" spans="1:11" ht="45">
      <c r="A23" s="113"/>
      <c r="B23" s="123" t="s">
        <v>72</v>
      </c>
      <c r="C23" s="124">
        <f aca="true" t="shared" si="3" ref="C23:K23">C24</f>
        <v>5952.1</v>
      </c>
      <c r="D23" s="124">
        <f t="shared" si="3"/>
        <v>0</v>
      </c>
      <c r="E23" s="124">
        <f t="shared" si="3"/>
        <v>0</v>
      </c>
      <c r="F23" s="124">
        <f t="shared" si="3"/>
        <v>5180</v>
      </c>
      <c r="G23" s="124">
        <f t="shared" si="3"/>
        <v>772.1</v>
      </c>
      <c r="H23" s="124">
        <f t="shared" si="3"/>
        <v>0</v>
      </c>
      <c r="I23" s="124">
        <f t="shared" si="3"/>
        <v>0</v>
      </c>
      <c r="J23" s="124">
        <f t="shared" si="3"/>
        <v>0</v>
      </c>
      <c r="K23" s="124">
        <f t="shared" si="3"/>
        <v>5952.1</v>
      </c>
    </row>
    <row r="24" spans="1:11" ht="30">
      <c r="A24" s="125" t="s">
        <v>85</v>
      </c>
      <c r="B24" s="126" t="s">
        <v>86</v>
      </c>
      <c r="C24" s="116">
        <f>D24+E24+F24+G24</f>
        <v>5952.1</v>
      </c>
      <c r="D24" s="116"/>
      <c r="E24" s="116"/>
      <c r="F24" s="116">
        <f>2300+1160+20+800+800+100</f>
        <v>5180</v>
      </c>
      <c r="G24" s="116">
        <f>820.1+7+60-7-110-5+7</f>
        <v>772.1</v>
      </c>
      <c r="H24" s="116"/>
      <c r="I24" s="116"/>
      <c r="J24" s="116"/>
      <c r="K24" s="116">
        <f>C24+H24</f>
        <v>5952.1</v>
      </c>
    </row>
    <row r="25" spans="1:12" s="122" customFormat="1" ht="28.5">
      <c r="A25" s="127"/>
      <c r="B25" s="128" t="s">
        <v>187</v>
      </c>
      <c r="C25" s="129">
        <f t="shared" si="1"/>
        <v>72886.5</v>
      </c>
      <c r="D25" s="130">
        <f aca="true" t="shared" si="4" ref="D25:I25">SUM(D26:D31)</f>
        <v>28250.799999999996</v>
      </c>
      <c r="E25" s="130">
        <f t="shared" si="4"/>
        <v>7690.400000000001</v>
      </c>
      <c r="F25" s="130">
        <f t="shared" si="4"/>
        <v>33768.299999999996</v>
      </c>
      <c r="G25" s="130">
        <f t="shared" si="4"/>
        <v>3177</v>
      </c>
      <c r="H25" s="130">
        <f t="shared" si="4"/>
        <v>1108.8</v>
      </c>
      <c r="I25" s="130">
        <f t="shared" si="4"/>
        <v>0</v>
      </c>
      <c r="J25" s="130"/>
      <c r="K25" s="130">
        <f t="shared" si="2"/>
        <v>73995.3</v>
      </c>
      <c r="L25" s="131"/>
    </row>
    <row r="26" spans="1:11" ht="30">
      <c r="A26" s="125" t="s">
        <v>87</v>
      </c>
      <c r="B26" s="117" t="s">
        <v>187</v>
      </c>
      <c r="C26" s="115">
        <f t="shared" si="1"/>
        <v>72126.59999999999</v>
      </c>
      <c r="D26" s="120">
        <f>27356.6+573</f>
        <v>27929.6</v>
      </c>
      <c r="E26" s="120">
        <f>7312.1+327</f>
        <v>7639.1</v>
      </c>
      <c r="F26" s="120">
        <f>31429.8+300+36+700+213.2+174.7+64.2+373+16+74</f>
        <v>33380.899999999994</v>
      </c>
      <c r="G26" s="120">
        <f>3513.4+234.7+45.3-309.9-55.3-251.2</f>
        <v>3177</v>
      </c>
      <c r="H26" s="120">
        <v>930.1</v>
      </c>
      <c r="I26" s="116"/>
      <c r="J26" s="116"/>
      <c r="K26" s="116">
        <f t="shared" si="2"/>
        <v>73056.7</v>
      </c>
    </row>
    <row r="27" spans="1:11" ht="15" hidden="1">
      <c r="A27" s="132"/>
      <c r="B27" s="133"/>
      <c r="C27" s="115">
        <f t="shared" si="1"/>
        <v>0</v>
      </c>
      <c r="D27" s="120"/>
      <c r="E27" s="120"/>
      <c r="F27" s="120"/>
      <c r="G27" s="120"/>
      <c r="H27" s="120"/>
      <c r="I27" s="116"/>
      <c r="J27" s="116"/>
      <c r="K27" s="116">
        <f t="shared" si="2"/>
        <v>0</v>
      </c>
    </row>
    <row r="28" spans="1:11" ht="15" hidden="1">
      <c r="A28" s="134"/>
      <c r="B28" s="135"/>
      <c r="C28" s="115">
        <f t="shared" si="1"/>
        <v>0</v>
      </c>
      <c r="D28" s="120"/>
      <c r="E28" s="120"/>
      <c r="F28" s="120"/>
      <c r="G28" s="120"/>
      <c r="H28" s="120"/>
      <c r="I28" s="116"/>
      <c r="J28" s="116"/>
      <c r="K28" s="116">
        <f t="shared" si="2"/>
        <v>0</v>
      </c>
    </row>
    <row r="29" spans="1:11" ht="45">
      <c r="A29" s="125">
        <v>130000</v>
      </c>
      <c r="B29" s="118" t="s">
        <v>188</v>
      </c>
      <c r="C29" s="115">
        <f t="shared" si="1"/>
        <v>325.70000000000005</v>
      </c>
      <c r="D29" s="120">
        <f>155.8+14.8</f>
        <v>170.60000000000002</v>
      </c>
      <c r="E29" s="120">
        <v>4.1</v>
      </c>
      <c r="F29" s="120">
        <f>145.5+5.5</f>
        <v>151</v>
      </c>
      <c r="G29" s="120"/>
      <c r="H29" s="120"/>
      <c r="I29" s="116"/>
      <c r="J29" s="116"/>
      <c r="K29" s="116">
        <f t="shared" si="2"/>
        <v>325.70000000000005</v>
      </c>
    </row>
    <row r="30" spans="1:11" ht="45">
      <c r="A30" s="136" t="s">
        <v>87</v>
      </c>
      <c r="B30" s="118" t="s">
        <v>189</v>
      </c>
      <c r="C30" s="115">
        <f t="shared" si="1"/>
        <v>79.5</v>
      </c>
      <c r="D30" s="120"/>
      <c r="E30" s="120"/>
      <c r="F30" s="120">
        <v>79.5</v>
      </c>
      <c r="G30" s="120"/>
      <c r="H30" s="120"/>
      <c r="I30" s="116"/>
      <c r="J30" s="116"/>
      <c r="K30" s="116">
        <f t="shared" si="2"/>
        <v>79.5</v>
      </c>
    </row>
    <row r="31" spans="1:11" ht="60">
      <c r="A31" s="136" t="s">
        <v>190</v>
      </c>
      <c r="B31" s="118" t="s">
        <v>191</v>
      </c>
      <c r="C31" s="115">
        <f t="shared" si="1"/>
        <v>354.70000000000005</v>
      </c>
      <c r="D31" s="120">
        <f>145.7+4.9</f>
        <v>150.6</v>
      </c>
      <c r="E31" s="120">
        <v>47.2</v>
      </c>
      <c r="F31" s="120">
        <f>57.1+1.8+98</f>
        <v>156.9</v>
      </c>
      <c r="G31" s="120"/>
      <c r="H31" s="120">
        <v>178.7</v>
      </c>
      <c r="I31" s="116"/>
      <c r="J31" s="116"/>
      <c r="K31" s="116">
        <f t="shared" si="2"/>
        <v>533.4000000000001</v>
      </c>
    </row>
    <row r="32" spans="1:59" s="122" customFormat="1" ht="28.5">
      <c r="A32" s="127"/>
      <c r="B32" s="137" t="s">
        <v>192</v>
      </c>
      <c r="C32" s="129">
        <f t="shared" si="1"/>
        <v>207586.1</v>
      </c>
      <c r="D32" s="138">
        <f>D33+D34+D35+D37+D38+D36</f>
        <v>75937</v>
      </c>
      <c r="E32" s="138">
        <f>E33+E34+E35+E37+E38+E36</f>
        <v>16749.3</v>
      </c>
      <c r="F32" s="138">
        <f>F33+F34+F35+F37+F38+F36</f>
        <v>104507.7</v>
      </c>
      <c r="G32" s="138">
        <f>G33+G34+G35+G37+G38+G36</f>
        <v>10392.100000000002</v>
      </c>
      <c r="H32" s="138">
        <f>H33+H35+H37+H38</f>
        <v>10274.3</v>
      </c>
      <c r="I32" s="130">
        <v>1342.5</v>
      </c>
      <c r="J32" s="130"/>
      <c r="K32" s="130">
        <f t="shared" si="2"/>
        <v>217860.4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</row>
    <row r="33" spans="1:11" ht="30">
      <c r="A33" s="125" t="s">
        <v>89</v>
      </c>
      <c r="B33" s="118" t="s">
        <v>193</v>
      </c>
      <c r="C33" s="115">
        <f t="shared" si="1"/>
        <v>179143.4</v>
      </c>
      <c r="D33" s="120">
        <f>70800.2+3171.2-223</f>
        <v>73748.4</v>
      </c>
      <c r="E33" s="120">
        <f>15800+546</f>
        <v>16346</v>
      </c>
      <c r="F33" s="120">
        <f>85917.2+700+1179.7+449.5+1000+76-1076+775.6+350-323</f>
        <v>89049</v>
      </c>
      <c r="G33" s="116"/>
      <c r="H33" s="116">
        <v>7742.6</v>
      </c>
      <c r="I33" s="116">
        <v>1342.5</v>
      </c>
      <c r="J33" s="116"/>
      <c r="K33" s="116">
        <f t="shared" si="2"/>
        <v>186886</v>
      </c>
    </row>
    <row r="34" spans="1:11" ht="30">
      <c r="A34" s="125"/>
      <c r="B34" s="118" t="s">
        <v>194</v>
      </c>
      <c r="C34" s="115">
        <f t="shared" si="1"/>
        <v>10392.100000000002</v>
      </c>
      <c r="D34" s="120"/>
      <c r="E34" s="120"/>
      <c r="F34" s="120"/>
      <c r="G34" s="120">
        <f>10808-86.8-265-36.4-27.8+0.1</f>
        <v>10392.100000000002</v>
      </c>
      <c r="H34" s="120"/>
      <c r="I34" s="120"/>
      <c r="J34" s="120"/>
      <c r="K34" s="120">
        <f t="shared" si="2"/>
        <v>10392.100000000002</v>
      </c>
    </row>
    <row r="35" spans="1:11" ht="30">
      <c r="A35" s="125"/>
      <c r="B35" s="118" t="s">
        <v>195</v>
      </c>
      <c r="C35" s="115">
        <f t="shared" si="1"/>
        <v>12608</v>
      </c>
      <c r="D35" s="120"/>
      <c r="E35" s="120"/>
      <c r="F35" s="120">
        <f>7769+63+1076+1500+2200</f>
        <v>12608</v>
      </c>
      <c r="G35" s="120"/>
      <c r="H35" s="120"/>
      <c r="I35" s="120"/>
      <c r="J35" s="120"/>
      <c r="K35" s="120">
        <f t="shared" si="2"/>
        <v>12608</v>
      </c>
    </row>
    <row r="36" spans="1:11" ht="30" hidden="1">
      <c r="A36" s="125"/>
      <c r="B36" s="117" t="s">
        <v>194</v>
      </c>
      <c r="C36" s="115">
        <f t="shared" si="1"/>
        <v>0</v>
      </c>
      <c r="D36" s="120"/>
      <c r="E36" s="120"/>
      <c r="F36" s="120"/>
      <c r="G36" s="120"/>
      <c r="H36" s="120"/>
      <c r="I36" s="120"/>
      <c r="J36" s="120"/>
      <c r="K36" s="120"/>
    </row>
    <row r="37" spans="1:11" ht="75">
      <c r="A37" s="136" t="s">
        <v>87</v>
      </c>
      <c r="B37" s="118" t="s">
        <v>196</v>
      </c>
      <c r="C37" s="115">
        <f t="shared" si="1"/>
        <v>5095.799999999999</v>
      </c>
      <c r="D37" s="120">
        <f>2080.2+28.3</f>
        <v>2108.5</v>
      </c>
      <c r="E37" s="120">
        <v>392.6</v>
      </c>
      <c r="F37" s="120">
        <f>2584.2+10.5</f>
        <v>2594.7</v>
      </c>
      <c r="G37" s="120"/>
      <c r="H37" s="120">
        <v>2531.7</v>
      </c>
      <c r="I37" s="120"/>
      <c r="J37" s="120"/>
      <c r="K37" s="120">
        <f aca="true" t="shared" si="5" ref="K37:K85">C37+H37</f>
        <v>7627.499999999999</v>
      </c>
    </row>
    <row r="38" spans="1:11" ht="15">
      <c r="A38" s="125">
        <v>110201</v>
      </c>
      <c r="B38" s="118" t="s">
        <v>197</v>
      </c>
      <c r="C38" s="115">
        <f t="shared" si="1"/>
        <v>346.8</v>
      </c>
      <c r="D38" s="120">
        <f>78.8+1.3</f>
        <v>80.1</v>
      </c>
      <c r="E38" s="120">
        <v>10.7</v>
      </c>
      <c r="F38" s="120">
        <f>255.5+0.5</f>
        <v>256</v>
      </c>
      <c r="G38" s="120"/>
      <c r="H38" s="120"/>
      <c r="I38" s="120"/>
      <c r="J38" s="120"/>
      <c r="K38" s="120">
        <f t="shared" si="5"/>
        <v>346.8</v>
      </c>
    </row>
    <row r="39" spans="1:59" s="122" customFormat="1" ht="42.75">
      <c r="A39" s="127"/>
      <c r="B39" s="137" t="s">
        <v>198</v>
      </c>
      <c r="C39" s="129">
        <f t="shared" si="1"/>
        <v>40161.9</v>
      </c>
      <c r="D39" s="138">
        <f>SUM(D40:D48)</f>
        <v>11196.699999999999</v>
      </c>
      <c r="E39" s="138">
        <f>SUM(E40:E48)</f>
        <v>4228</v>
      </c>
      <c r="F39" s="138">
        <f>F40+F41+F43+F44+F46+F47+F48+F45</f>
        <v>24704.100000000006</v>
      </c>
      <c r="G39" s="138">
        <f>SUM(G40:G48)</f>
        <v>33.1</v>
      </c>
      <c r="H39" s="138">
        <f>SUM(H40:H48)</f>
        <v>5733.4</v>
      </c>
      <c r="I39" s="130"/>
      <c r="J39" s="130"/>
      <c r="K39" s="130">
        <f>C39+H39</f>
        <v>45895.3</v>
      </c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</row>
    <row r="40" spans="1:11" ht="30">
      <c r="A40" s="125" t="s">
        <v>95</v>
      </c>
      <c r="B40" s="117" t="s">
        <v>96</v>
      </c>
      <c r="C40" s="115">
        <f t="shared" si="1"/>
        <v>3.3</v>
      </c>
      <c r="D40" s="116"/>
      <c r="E40" s="116"/>
      <c r="F40" s="116">
        <v>3.3</v>
      </c>
      <c r="G40" s="116"/>
      <c r="H40" s="120"/>
      <c r="I40" s="116"/>
      <c r="J40" s="116"/>
      <c r="K40" s="116">
        <f t="shared" si="5"/>
        <v>3.3</v>
      </c>
    </row>
    <row r="41" spans="1:11" ht="30">
      <c r="A41" s="125" t="s">
        <v>97</v>
      </c>
      <c r="B41" s="117" t="s">
        <v>98</v>
      </c>
      <c r="C41" s="115">
        <f t="shared" si="1"/>
        <v>1334.1</v>
      </c>
      <c r="D41" s="120"/>
      <c r="E41" s="120"/>
      <c r="F41" s="120">
        <f>471+F42-420+100+500</f>
        <v>1301</v>
      </c>
      <c r="G41" s="120">
        <v>33.1</v>
      </c>
      <c r="H41" s="120">
        <v>130</v>
      </c>
      <c r="I41" s="120"/>
      <c r="J41" s="120"/>
      <c r="K41" s="120">
        <f t="shared" si="5"/>
        <v>1464.1</v>
      </c>
    </row>
    <row r="42" spans="1:11" ht="120">
      <c r="A42" s="125"/>
      <c r="B42" s="118" t="s">
        <v>199</v>
      </c>
      <c r="C42" s="115">
        <f t="shared" si="1"/>
        <v>650</v>
      </c>
      <c r="D42" s="120"/>
      <c r="E42" s="120"/>
      <c r="F42" s="120">
        <v>650</v>
      </c>
      <c r="G42" s="120"/>
      <c r="H42" s="120"/>
      <c r="I42" s="120"/>
      <c r="J42" s="120"/>
      <c r="K42" s="120">
        <f t="shared" si="5"/>
        <v>650</v>
      </c>
    </row>
    <row r="43" spans="1:11" ht="60">
      <c r="A43" s="136" t="s">
        <v>99</v>
      </c>
      <c r="B43" s="117" t="s">
        <v>100</v>
      </c>
      <c r="C43" s="115">
        <f t="shared" si="1"/>
        <v>472.79999999999995</v>
      </c>
      <c r="D43" s="120"/>
      <c r="E43" s="120"/>
      <c r="F43" s="120">
        <f>414.9+57.9</f>
        <v>472.79999999999995</v>
      </c>
      <c r="G43" s="120"/>
      <c r="H43" s="120"/>
      <c r="I43" s="120"/>
      <c r="J43" s="120"/>
      <c r="K43" s="120">
        <f t="shared" si="5"/>
        <v>472.79999999999995</v>
      </c>
    </row>
    <row r="44" spans="1:11" ht="60">
      <c r="A44" s="139" t="s">
        <v>200</v>
      </c>
      <c r="B44" s="117" t="s">
        <v>103</v>
      </c>
      <c r="C44" s="115">
        <f t="shared" si="1"/>
        <v>33624.50000000001</v>
      </c>
      <c r="D44" s="116">
        <f>10243.5+381.3</f>
        <v>10624.8</v>
      </c>
      <c r="E44" s="116">
        <f>4091.9+74.6</f>
        <v>4166.5</v>
      </c>
      <c r="F44" s="116">
        <f>18416.9+418.2-115.5+141.9+41.9-74.6+4.4</f>
        <v>18833.200000000008</v>
      </c>
      <c r="G44" s="116"/>
      <c r="H44" s="116">
        <f>1618.6+92.3+3489.1</f>
        <v>5200</v>
      </c>
      <c r="I44" s="116"/>
      <c r="J44" s="116"/>
      <c r="K44" s="116">
        <f t="shared" si="5"/>
        <v>38824.50000000001</v>
      </c>
    </row>
    <row r="45" spans="1:11" ht="75">
      <c r="A45" s="139" t="s">
        <v>108</v>
      </c>
      <c r="B45" s="117" t="s">
        <v>109</v>
      </c>
      <c r="C45" s="115">
        <f t="shared" si="1"/>
        <v>420</v>
      </c>
      <c r="D45" s="116"/>
      <c r="E45" s="116"/>
      <c r="F45" s="116">
        <v>420</v>
      </c>
      <c r="G45" s="116"/>
      <c r="H45" s="116"/>
      <c r="I45" s="116"/>
      <c r="J45" s="116"/>
      <c r="K45" s="116">
        <f t="shared" si="5"/>
        <v>420</v>
      </c>
    </row>
    <row r="46" spans="1:11" ht="45">
      <c r="A46" s="125" t="s">
        <v>110</v>
      </c>
      <c r="B46" s="118" t="s">
        <v>111</v>
      </c>
      <c r="C46" s="115">
        <f t="shared" si="1"/>
        <v>66</v>
      </c>
      <c r="D46" s="120"/>
      <c r="E46" s="120"/>
      <c r="F46" s="120">
        <f>56+10</f>
        <v>66</v>
      </c>
      <c r="G46" s="120"/>
      <c r="H46" s="120"/>
      <c r="I46" s="116"/>
      <c r="J46" s="116"/>
      <c r="K46" s="116">
        <f t="shared" si="5"/>
        <v>66</v>
      </c>
    </row>
    <row r="47" spans="1:11" ht="30">
      <c r="A47" s="125" t="s">
        <v>113</v>
      </c>
      <c r="B47" s="117" t="s">
        <v>114</v>
      </c>
      <c r="C47" s="115">
        <f t="shared" si="1"/>
        <v>1589.2</v>
      </c>
      <c r="D47" s="120">
        <f>529.9+42</f>
        <v>571.9</v>
      </c>
      <c r="E47" s="120">
        <f>52.1+9.4</f>
        <v>61.5</v>
      </c>
      <c r="F47" s="120">
        <f>949.6+15.6-9.4</f>
        <v>955.8000000000001</v>
      </c>
      <c r="G47" s="120"/>
      <c r="H47" s="120">
        <v>403.4</v>
      </c>
      <c r="I47" s="116"/>
      <c r="J47" s="116"/>
      <c r="K47" s="116">
        <f t="shared" si="5"/>
        <v>1992.6</v>
      </c>
    </row>
    <row r="48" spans="1:11" ht="45">
      <c r="A48" s="125" t="s">
        <v>115</v>
      </c>
      <c r="B48" s="118" t="s">
        <v>201</v>
      </c>
      <c r="C48" s="115">
        <f t="shared" si="1"/>
        <v>2652</v>
      </c>
      <c r="D48" s="120"/>
      <c r="E48" s="120"/>
      <c r="F48" s="120">
        <f>1400+261.8+0.2+990</f>
        <v>2652</v>
      </c>
      <c r="G48" s="120"/>
      <c r="H48" s="120"/>
      <c r="I48" s="116"/>
      <c r="J48" s="116"/>
      <c r="K48" s="116">
        <f t="shared" si="5"/>
        <v>2652</v>
      </c>
    </row>
    <row r="49" spans="1:11" ht="28.5">
      <c r="A49" s="127"/>
      <c r="B49" s="140" t="s">
        <v>202</v>
      </c>
      <c r="C49" s="129">
        <f t="shared" si="1"/>
        <v>4785.700000000001</v>
      </c>
      <c r="D49" s="138">
        <f>D50</f>
        <v>1467.5</v>
      </c>
      <c r="E49" s="138">
        <f>E50</f>
        <v>535.9</v>
      </c>
      <c r="F49" s="138">
        <f>F50</f>
        <v>2782.3</v>
      </c>
      <c r="G49" s="120"/>
      <c r="H49" s="120"/>
      <c r="I49" s="116"/>
      <c r="J49" s="116"/>
      <c r="K49" s="130">
        <f t="shared" si="5"/>
        <v>4785.700000000001</v>
      </c>
    </row>
    <row r="50" spans="1:11" ht="30">
      <c r="A50" s="125" t="s">
        <v>117</v>
      </c>
      <c r="B50" s="118" t="s">
        <v>118</v>
      </c>
      <c r="C50" s="115">
        <f>D50+E50+F50+G50</f>
        <v>4785.700000000001</v>
      </c>
      <c r="D50" s="120">
        <f>1369.7+97.8</f>
        <v>1467.5</v>
      </c>
      <c r="E50" s="120">
        <f>409.2+41+85.7</f>
        <v>535.9</v>
      </c>
      <c r="F50" s="120">
        <f>2872.6+36.4-41-85.7</f>
        <v>2782.3</v>
      </c>
      <c r="G50" s="120"/>
      <c r="H50" s="120"/>
      <c r="I50" s="116"/>
      <c r="J50" s="116"/>
      <c r="K50" s="116">
        <f t="shared" si="5"/>
        <v>4785.700000000001</v>
      </c>
    </row>
    <row r="51" spans="1:11" ht="57">
      <c r="A51" s="141" t="s">
        <v>203</v>
      </c>
      <c r="B51" s="140" t="s">
        <v>204</v>
      </c>
      <c r="C51" s="129">
        <f t="shared" si="1"/>
        <v>3699.2999999999997</v>
      </c>
      <c r="D51" s="138">
        <f>206+16.2</f>
        <v>222.2</v>
      </c>
      <c r="E51" s="138">
        <f>34.3-3.6</f>
        <v>30.699999999999996</v>
      </c>
      <c r="F51" s="138">
        <f>843.3+150+700-700+6+120+3.6</f>
        <v>1122.8999999999999</v>
      </c>
      <c r="G51" s="138">
        <f>2101.8+232.5+8.2-39+20</f>
        <v>2323.5</v>
      </c>
      <c r="H51" s="138"/>
      <c r="I51" s="130"/>
      <c r="J51" s="130"/>
      <c r="K51" s="130">
        <f t="shared" si="5"/>
        <v>3699.2999999999997</v>
      </c>
    </row>
    <row r="52" spans="1:59" s="122" customFormat="1" ht="28.5">
      <c r="A52" s="127"/>
      <c r="B52" s="140" t="s">
        <v>205</v>
      </c>
      <c r="C52" s="129">
        <f t="shared" si="1"/>
        <v>12794.1</v>
      </c>
      <c r="D52" s="138"/>
      <c r="E52" s="138"/>
      <c r="F52" s="138">
        <f>7000+F53+200+200+600+50</f>
        <v>8062.5</v>
      </c>
      <c r="G52" s="138">
        <f>4770-45-50-35+230-40-98.4</f>
        <v>4731.6</v>
      </c>
      <c r="H52" s="138"/>
      <c r="I52" s="130"/>
      <c r="J52" s="130"/>
      <c r="K52" s="130">
        <f t="shared" si="5"/>
        <v>12794.1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</row>
    <row r="53" spans="1:11" ht="75">
      <c r="A53" s="125" t="s">
        <v>206</v>
      </c>
      <c r="B53" s="142" t="s">
        <v>120</v>
      </c>
      <c r="C53" s="129">
        <f t="shared" si="1"/>
        <v>12.5</v>
      </c>
      <c r="D53" s="120"/>
      <c r="E53" s="120"/>
      <c r="F53" s="120">
        <v>12.5</v>
      </c>
      <c r="G53" s="120"/>
      <c r="H53" s="120"/>
      <c r="I53" s="116"/>
      <c r="J53" s="116"/>
      <c r="K53" s="116">
        <f t="shared" si="5"/>
        <v>12.5</v>
      </c>
    </row>
    <row r="54" spans="1:11" ht="28.5">
      <c r="A54" s="126"/>
      <c r="B54" s="140" t="s">
        <v>207</v>
      </c>
      <c r="C54" s="129">
        <f>D54+E54+F54+G54</f>
        <v>30448.2</v>
      </c>
      <c r="D54" s="138">
        <f>D55+D56+D57+D58+D59+D60</f>
        <v>5604.700000000001</v>
      </c>
      <c r="E54" s="138">
        <f>E55+E56+E57+E58+E59+E60</f>
        <v>992.5</v>
      </c>
      <c r="F54" s="138">
        <f>F55+F56+F57+F58+F59+F60+F61+F62</f>
        <v>21999</v>
      </c>
      <c r="G54" s="138">
        <f>G55+G56+G57+G58+G59+G60</f>
        <v>1852</v>
      </c>
      <c r="H54" s="138">
        <f>H55+H56+H57+H58+H59+H60</f>
        <v>705</v>
      </c>
      <c r="I54" s="138">
        <f>I55+I56+I57+I58+I59+I60</f>
        <v>0</v>
      </c>
      <c r="J54" s="138">
        <f>J55+J56+J57+J58+J59+J60</f>
        <v>0</v>
      </c>
      <c r="K54" s="130">
        <f t="shared" si="5"/>
        <v>31153.2</v>
      </c>
    </row>
    <row r="55" spans="1:11" ht="60">
      <c r="A55" s="125" t="s">
        <v>208</v>
      </c>
      <c r="B55" s="118" t="s">
        <v>209</v>
      </c>
      <c r="C55" s="115">
        <f t="shared" si="1"/>
        <v>17127.1</v>
      </c>
      <c r="D55" s="120"/>
      <c r="E55" s="120"/>
      <c r="F55" s="120">
        <f>10387+3000+976+191.2+400+56+110+33.4+121.5</f>
        <v>15275.1</v>
      </c>
      <c r="G55" s="120">
        <f>1505+350-3</f>
        <v>1852</v>
      </c>
      <c r="H55" s="120"/>
      <c r="I55" s="120"/>
      <c r="J55" s="116"/>
      <c r="K55" s="116">
        <f t="shared" si="5"/>
        <v>17127.1</v>
      </c>
    </row>
    <row r="56" spans="1:11" ht="60">
      <c r="A56" s="125" t="s">
        <v>210</v>
      </c>
      <c r="B56" s="118" t="s">
        <v>211</v>
      </c>
      <c r="C56" s="115">
        <f t="shared" si="1"/>
        <v>5282.400000000001</v>
      </c>
      <c r="D56" s="120">
        <f>1204.4+87</f>
        <v>1291.4</v>
      </c>
      <c r="E56" s="120">
        <f>300.9+33.5+45</f>
        <v>379.4</v>
      </c>
      <c r="F56" s="120">
        <f>2839.1+1821-33.5-1382.1+100+32.4+100+5+21.7+108</f>
        <v>3611.6000000000004</v>
      </c>
      <c r="G56" s="120"/>
      <c r="H56" s="120">
        <v>465</v>
      </c>
      <c r="I56" s="116"/>
      <c r="J56" s="116"/>
      <c r="K56" s="116">
        <f t="shared" si="5"/>
        <v>5747.400000000001</v>
      </c>
    </row>
    <row r="57" spans="1:11" ht="60">
      <c r="A57" s="143">
        <v>70000</v>
      </c>
      <c r="B57" s="144" t="s">
        <v>212</v>
      </c>
      <c r="C57" s="115">
        <f t="shared" si="1"/>
        <v>7541.900000000001</v>
      </c>
      <c r="D57" s="120">
        <f>4247.1+66.2</f>
        <v>4313.3</v>
      </c>
      <c r="E57" s="120">
        <v>613.1</v>
      </c>
      <c r="F57" s="120">
        <f>2430.4+24.6+160.5</f>
        <v>2615.5</v>
      </c>
      <c r="G57" s="120"/>
      <c r="H57" s="120">
        <v>240</v>
      </c>
      <c r="I57" s="116"/>
      <c r="J57" s="116"/>
      <c r="K57" s="116">
        <f t="shared" si="5"/>
        <v>7781.900000000001</v>
      </c>
    </row>
    <row r="58" spans="1:11" ht="30">
      <c r="A58" s="145">
        <v>70000</v>
      </c>
      <c r="B58" s="142" t="s">
        <v>213</v>
      </c>
      <c r="C58" s="115">
        <f t="shared" si="1"/>
        <v>12.2</v>
      </c>
      <c r="D58" s="120"/>
      <c r="E58" s="120"/>
      <c r="F58" s="120">
        <v>12.2</v>
      </c>
      <c r="G58" s="120"/>
      <c r="H58" s="120"/>
      <c r="I58" s="120"/>
      <c r="J58" s="120"/>
      <c r="K58" s="120">
        <f t="shared" si="5"/>
        <v>12.2</v>
      </c>
    </row>
    <row r="59" spans="1:11" ht="45">
      <c r="A59" s="125">
        <v>110300</v>
      </c>
      <c r="B59" s="118" t="s">
        <v>214</v>
      </c>
      <c r="C59" s="115">
        <f t="shared" si="1"/>
        <v>200</v>
      </c>
      <c r="D59" s="120"/>
      <c r="E59" s="120"/>
      <c r="F59" s="120">
        <v>200</v>
      </c>
      <c r="G59" s="120"/>
      <c r="H59" s="120"/>
      <c r="I59" s="120"/>
      <c r="J59" s="120"/>
      <c r="K59" s="120">
        <f t="shared" si="5"/>
        <v>200</v>
      </c>
    </row>
    <row r="60" spans="1:11" ht="45">
      <c r="A60" s="125">
        <v>120300</v>
      </c>
      <c r="B60" s="118" t="s">
        <v>215</v>
      </c>
      <c r="C60" s="115">
        <f t="shared" si="1"/>
        <v>58.699999999999996</v>
      </c>
      <c r="D60" s="120"/>
      <c r="E60" s="120"/>
      <c r="F60" s="120">
        <f>53.4+5.3</f>
        <v>58.699999999999996</v>
      </c>
      <c r="G60" s="120"/>
      <c r="H60" s="120"/>
      <c r="I60" s="116"/>
      <c r="J60" s="116"/>
      <c r="K60" s="116">
        <f t="shared" si="5"/>
        <v>58.699999999999996</v>
      </c>
    </row>
    <row r="61" spans="1:11" ht="45">
      <c r="A61" s="125">
        <v>120300</v>
      </c>
      <c r="B61" s="118" t="s">
        <v>216</v>
      </c>
      <c r="C61" s="115">
        <f t="shared" si="1"/>
        <v>207.6</v>
      </c>
      <c r="D61" s="120"/>
      <c r="E61" s="120"/>
      <c r="F61" s="120">
        <v>207.6</v>
      </c>
      <c r="G61" s="120"/>
      <c r="H61" s="120"/>
      <c r="I61" s="120"/>
      <c r="J61" s="120"/>
      <c r="K61" s="120">
        <f>C61+H61</f>
        <v>207.6</v>
      </c>
    </row>
    <row r="62" spans="1:11" ht="45">
      <c r="A62" s="125" t="s">
        <v>230</v>
      </c>
      <c r="B62" s="118" t="s">
        <v>231</v>
      </c>
      <c r="C62" s="115">
        <f t="shared" si="1"/>
        <v>18.3</v>
      </c>
      <c r="D62" s="120"/>
      <c r="E62" s="120"/>
      <c r="F62" s="120">
        <f>40-21.7</f>
        <v>18.3</v>
      </c>
      <c r="G62" s="120"/>
      <c r="H62" s="120"/>
      <c r="I62" s="120"/>
      <c r="J62" s="120"/>
      <c r="K62" s="120">
        <f>C62+H62</f>
        <v>18.3</v>
      </c>
    </row>
    <row r="63" spans="1:59" s="122" customFormat="1" ht="28.5">
      <c r="A63" s="127"/>
      <c r="B63" s="140" t="s">
        <v>217</v>
      </c>
      <c r="C63" s="129">
        <f>D63+E63+F63+G63</f>
        <v>4552.6</v>
      </c>
      <c r="D63" s="138"/>
      <c r="E63" s="138"/>
      <c r="F63" s="138">
        <f>F65+F64+F66+F67</f>
        <v>3300.5</v>
      </c>
      <c r="G63" s="138">
        <f>G65+G64+G61+G66</f>
        <v>1252.1</v>
      </c>
      <c r="H63" s="138"/>
      <c r="I63" s="130"/>
      <c r="J63" s="130"/>
      <c r="K63" s="130">
        <f t="shared" si="5"/>
        <v>4552.6</v>
      </c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</row>
    <row r="64" spans="1:11" ht="15">
      <c r="A64" s="143">
        <v>120100</v>
      </c>
      <c r="B64" s="146" t="s">
        <v>129</v>
      </c>
      <c r="C64" s="115">
        <f t="shared" si="1"/>
        <v>100</v>
      </c>
      <c r="D64" s="147"/>
      <c r="E64" s="147"/>
      <c r="F64" s="147">
        <f>2000-1500-400</f>
        <v>100</v>
      </c>
      <c r="G64" s="120"/>
      <c r="H64" s="120"/>
      <c r="I64" s="116"/>
      <c r="J64" s="116"/>
      <c r="K64" s="116">
        <f t="shared" si="5"/>
        <v>100</v>
      </c>
    </row>
    <row r="65" spans="1:11" ht="30">
      <c r="A65" s="125" t="s">
        <v>239</v>
      </c>
      <c r="B65" s="148" t="s">
        <v>130</v>
      </c>
      <c r="C65" s="115">
        <f t="shared" si="1"/>
        <v>3980.1</v>
      </c>
      <c r="D65" s="120"/>
      <c r="E65" s="120"/>
      <c r="F65" s="120">
        <f>4200-300-1172</f>
        <v>2728</v>
      </c>
      <c r="G65" s="120">
        <f>1295.1-43</f>
        <v>1252.1</v>
      </c>
      <c r="H65" s="120"/>
      <c r="I65" s="116"/>
      <c r="J65" s="116"/>
      <c r="K65" s="116">
        <f t="shared" si="5"/>
        <v>3980.1</v>
      </c>
    </row>
    <row r="66" spans="1:11" ht="30">
      <c r="A66" s="125">
        <v>120300</v>
      </c>
      <c r="B66" s="118" t="s">
        <v>238</v>
      </c>
      <c r="C66" s="115">
        <f t="shared" si="1"/>
        <v>72.5</v>
      </c>
      <c r="D66" s="120"/>
      <c r="E66" s="120"/>
      <c r="F66" s="120">
        <f>68+4.5</f>
        <v>72.5</v>
      </c>
      <c r="G66" s="120"/>
      <c r="H66" s="120"/>
      <c r="I66" s="120"/>
      <c r="J66" s="120"/>
      <c r="K66" s="120">
        <f t="shared" si="5"/>
        <v>72.5</v>
      </c>
    </row>
    <row r="67" spans="1:11" ht="45">
      <c r="A67" s="113">
        <v>180109</v>
      </c>
      <c r="B67" s="117" t="s">
        <v>147</v>
      </c>
      <c r="C67" s="115">
        <f t="shared" si="1"/>
        <v>400</v>
      </c>
      <c r="D67" s="120"/>
      <c r="E67" s="120"/>
      <c r="F67" s="120">
        <v>400</v>
      </c>
      <c r="G67" s="120"/>
      <c r="H67" s="120"/>
      <c r="I67" s="120"/>
      <c r="J67" s="120"/>
      <c r="K67" s="120">
        <f t="shared" si="5"/>
        <v>400</v>
      </c>
    </row>
    <row r="68" spans="1:59" s="122" customFormat="1" ht="42.75">
      <c r="A68" s="149"/>
      <c r="B68" s="140" t="s">
        <v>218</v>
      </c>
      <c r="C68" s="129">
        <f t="shared" si="1"/>
        <v>16294.7</v>
      </c>
      <c r="D68" s="138">
        <f aca="true" t="shared" si="6" ref="D68:J68">D69+D70+D71</f>
        <v>1855.4</v>
      </c>
      <c r="E68" s="138">
        <f t="shared" si="6"/>
        <v>155.8</v>
      </c>
      <c r="F68" s="138">
        <f t="shared" si="6"/>
        <v>14241.5</v>
      </c>
      <c r="G68" s="138">
        <f t="shared" si="6"/>
        <v>42</v>
      </c>
      <c r="H68" s="138">
        <f>H69+H70+H71</f>
        <v>10.4</v>
      </c>
      <c r="I68" s="138">
        <f t="shared" si="6"/>
        <v>0</v>
      </c>
      <c r="J68" s="138">
        <f t="shared" si="6"/>
        <v>0</v>
      </c>
      <c r="K68" s="130">
        <f>C68+H68</f>
        <v>16305.1</v>
      </c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</row>
    <row r="69" spans="1:11" ht="60">
      <c r="A69" s="125">
        <v>130000</v>
      </c>
      <c r="B69" s="118" t="s">
        <v>184</v>
      </c>
      <c r="C69" s="115">
        <f t="shared" si="1"/>
        <v>13231.7</v>
      </c>
      <c r="D69" s="120">
        <f>1283.9-165.8</f>
        <v>1118.1000000000001</v>
      </c>
      <c r="E69" s="120">
        <v>23.4</v>
      </c>
      <c r="F69" s="120">
        <f>11222.4+600+7300+60-7300+165.8</f>
        <v>12048.2</v>
      </c>
      <c r="G69" s="120">
        <f>49-7</f>
        <v>42</v>
      </c>
      <c r="H69" s="120">
        <f>I69</f>
        <v>0</v>
      </c>
      <c r="I69" s="120"/>
      <c r="J69" s="120"/>
      <c r="K69" s="138">
        <f>C69+H69</f>
        <v>13231.7</v>
      </c>
    </row>
    <row r="70" spans="1:11" ht="30">
      <c r="A70" s="136">
        <v>70601</v>
      </c>
      <c r="B70" s="118" t="s">
        <v>219</v>
      </c>
      <c r="C70" s="115">
        <f t="shared" si="1"/>
        <v>3063</v>
      </c>
      <c r="D70" s="120">
        <v>737.3</v>
      </c>
      <c r="E70" s="120">
        <f>126.4+6</f>
        <v>132.4</v>
      </c>
      <c r="F70" s="120">
        <f>2199.3-6</f>
        <v>2193.3</v>
      </c>
      <c r="G70" s="120"/>
      <c r="H70" s="120">
        <v>10.4</v>
      </c>
      <c r="I70" s="120"/>
      <c r="J70" s="120"/>
      <c r="K70" s="138">
        <f t="shared" si="5"/>
        <v>3073.4</v>
      </c>
    </row>
    <row r="71" spans="1:11" ht="15" hidden="1">
      <c r="A71" s="125"/>
      <c r="B71" s="118"/>
      <c r="C71" s="115">
        <f t="shared" si="1"/>
        <v>0</v>
      </c>
      <c r="D71" s="120"/>
      <c r="E71" s="120"/>
      <c r="F71" s="120"/>
      <c r="G71" s="120"/>
      <c r="H71" s="120"/>
      <c r="I71" s="116"/>
      <c r="J71" s="116"/>
      <c r="K71" s="130">
        <f t="shared" si="5"/>
        <v>0</v>
      </c>
    </row>
    <row r="72" spans="1:59" s="122" customFormat="1" ht="43.5">
      <c r="A72" s="127"/>
      <c r="B72" s="150" t="s">
        <v>220</v>
      </c>
      <c r="C72" s="129">
        <f t="shared" si="1"/>
        <v>3000</v>
      </c>
      <c r="D72" s="138"/>
      <c r="E72" s="138"/>
      <c r="F72" s="138">
        <f>F73</f>
        <v>3000</v>
      </c>
      <c r="G72" s="138"/>
      <c r="H72" s="138">
        <f>H73</f>
        <v>0</v>
      </c>
      <c r="I72" s="130"/>
      <c r="J72" s="130"/>
      <c r="K72" s="130">
        <f t="shared" si="5"/>
        <v>3000</v>
      </c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</row>
    <row r="73" spans="1:11" ht="60">
      <c r="A73" s="151">
        <v>160903</v>
      </c>
      <c r="B73" s="152" t="s">
        <v>139</v>
      </c>
      <c r="C73" s="115">
        <f t="shared" si="1"/>
        <v>3000</v>
      </c>
      <c r="D73" s="120"/>
      <c r="E73" s="120"/>
      <c r="F73" s="120">
        <f>3500+5000-5000-500</f>
        <v>3000</v>
      </c>
      <c r="G73" s="120"/>
      <c r="H73" s="120"/>
      <c r="I73" s="116"/>
      <c r="J73" s="116"/>
      <c r="K73" s="130">
        <f t="shared" si="5"/>
        <v>3000</v>
      </c>
    </row>
    <row r="74" spans="1:59" s="122" customFormat="1" ht="71.25">
      <c r="A74" s="127">
        <v>210000</v>
      </c>
      <c r="B74" s="153" t="s">
        <v>221</v>
      </c>
      <c r="C74" s="129">
        <f t="shared" si="1"/>
        <v>5315.300000000001</v>
      </c>
      <c r="D74" s="138"/>
      <c r="E74" s="138"/>
      <c r="F74" s="138">
        <f>1533+200+668.3+200+630+557+388.1+100+229.5+0.1</f>
        <v>4506.000000000001</v>
      </c>
      <c r="G74" s="138">
        <f>825+4.3-20</f>
        <v>809.3</v>
      </c>
      <c r="H74" s="138"/>
      <c r="I74" s="130"/>
      <c r="J74" s="130"/>
      <c r="K74" s="130">
        <f t="shared" si="5"/>
        <v>5315.300000000001</v>
      </c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5" spans="1:59" s="122" customFormat="1" ht="28.5">
      <c r="A75" s="127"/>
      <c r="B75" s="153" t="s">
        <v>222</v>
      </c>
      <c r="C75" s="129">
        <f t="shared" si="1"/>
        <v>200</v>
      </c>
      <c r="D75" s="138"/>
      <c r="E75" s="138"/>
      <c r="F75" s="138">
        <f>F76</f>
        <v>200</v>
      </c>
      <c r="G75" s="138"/>
      <c r="H75" s="138"/>
      <c r="I75" s="130"/>
      <c r="J75" s="130"/>
      <c r="K75" s="130">
        <f t="shared" si="5"/>
        <v>200</v>
      </c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</row>
    <row r="76" spans="1:59" s="122" customFormat="1" ht="30">
      <c r="A76" s="151">
        <v>180404</v>
      </c>
      <c r="B76" s="117" t="s">
        <v>148</v>
      </c>
      <c r="C76" s="115">
        <f t="shared" si="1"/>
        <v>200</v>
      </c>
      <c r="D76" s="120"/>
      <c r="E76" s="120"/>
      <c r="F76" s="120">
        <v>200</v>
      </c>
      <c r="G76" s="120"/>
      <c r="H76" s="120"/>
      <c r="I76" s="120"/>
      <c r="J76" s="120"/>
      <c r="K76" s="120">
        <f t="shared" si="5"/>
        <v>200</v>
      </c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7" spans="1:59" s="122" customFormat="1" ht="28.5">
      <c r="A77" s="127"/>
      <c r="B77" s="140" t="s">
        <v>223</v>
      </c>
      <c r="C77" s="129">
        <f t="shared" si="1"/>
        <v>101000.6</v>
      </c>
      <c r="D77" s="138">
        <f>D78+D82+D83+D85+D86+D87+D88+D89+D90+D91+D92+D93+D81+D94+D96</f>
        <v>0</v>
      </c>
      <c r="E77" s="138">
        <f>E78+E82+E83+E85+E86+E87+E88+E89+E90+E91+E92+E93+E81+E94+E96</f>
        <v>0</v>
      </c>
      <c r="F77" s="138">
        <f>F78+F82+F83+F85+F86+F87+F88+F89+F90+F91+F92+F93+F81+F94+F96+F95</f>
        <v>97272.90000000001</v>
      </c>
      <c r="G77" s="138">
        <f>G78+G82+G83+G85+G86+G87+G88+G89+G90+G91+G92+G93+G81+G94+G96</f>
        <v>3727.7</v>
      </c>
      <c r="H77" s="138">
        <f>H78+H82+H83+H85+H86+H87+H88+H89+H90+H91+H92+H93+H81+H84+H96</f>
        <v>95820.6</v>
      </c>
      <c r="I77" s="138">
        <f>I78+I82+I83+I85+I86+I87+I88+I89+I90+I91+I92+I93+I81+I84+I96</f>
        <v>39588.9</v>
      </c>
      <c r="J77" s="138">
        <f>J78+J82+J83+J85+J86+J87+J88+J89+J90+J91+J92+J93+J81+J84+J96</f>
        <v>1470.4</v>
      </c>
      <c r="K77" s="138">
        <f>K78+K82+K83+K85+K86+K87+K88+K89+K90+K91+K92+K93+K81+K84+K96+K94+K95</f>
        <v>196821.20000000004</v>
      </c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59" s="158" customFormat="1" ht="15" hidden="1">
      <c r="A78" s="154"/>
      <c r="B78" s="155"/>
      <c r="C78" s="129">
        <f t="shared" si="1"/>
        <v>0</v>
      </c>
      <c r="D78" s="156"/>
      <c r="E78" s="156"/>
      <c r="F78" s="156"/>
      <c r="G78" s="156"/>
      <c r="H78" s="156"/>
      <c r="I78" s="156"/>
      <c r="J78" s="156"/>
      <c r="K78" s="156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</row>
    <row r="79" spans="1:11" ht="15" hidden="1">
      <c r="A79" s="125"/>
      <c r="B79" s="118"/>
      <c r="C79" s="129">
        <f t="shared" si="1"/>
        <v>0</v>
      </c>
      <c r="D79" s="120"/>
      <c r="E79" s="120"/>
      <c r="F79" s="120"/>
      <c r="G79" s="120"/>
      <c r="H79" s="120"/>
      <c r="I79" s="116"/>
      <c r="J79" s="116"/>
      <c r="K79" s="116"/>
    </row>
    <row r="80" spans="1:11" ht="15" hidden="1">
      <c r="A80" s="125"/>
      <c r="B80" s="117"/>
      <c r="C80" s="129">
        <f t="shared" si="1"/>
        <v>0</v>
      </c>
      <c r="D80" s="116"/>
      <c r="E80" s="116"/>
      <c r="F80" s="116"/>
      <c r="G80" s="116"/>
      <c r="H80" s="116"/>
      <c r="I80" s="116"/>
      <c r="J80" s="116"/>
      <c r="K80" s="116"/>
    </row>
    <row r="81" spans="1:11" ht="45">
      <c r="A81" s="125" t="s">
        <v>81</v>
      </c>
      <c r="B81" s="126" t="s">
        <v>82</v>
      </c>
      <c r="C81" s="115">
        <f t="shared" si="1"/>
        <v>3727.7</v>
      </c>
      <c r="D81" s="116"/>
      <c r="E81" s="116"/>
      <c r="F81" s="116"/>
      <c r="G81" s="116">
        <f>3584+20+3.7+7.4+112.6</f>
        <v>3727.7</v>
      </c>
      <c r="H81" s="116"/>
      <c r="I81" s="116"/>
      <c r="J81" s="116"/>
      <c r="K81" s="116">
        <f>C81+H81</f>
        <v>3727.7</v>
      </c>
    </row>
    <row r="82" spans="1:11" ht="15">
      <c r="A82" s="125">
        <v>150100</v>
      </c>
      <c r="B82" s="152" t="s">
        <v>135</v>
      </c>
      <c r="C82" s="115">
        <f t="shared" si="1"/>
        <v>0</v>
      </c>
      <c r="D82" s="120"/>
      <c r="E82" s="120"/>
      <c r="F82" s="120"/>
      <c r="G82" s="120"/>
      <c r="H82" s="120">
        <f>I82</f>
        <v>39598.9</v>
      </c>
      <c r="I82" s="116">
        <f>7890+22506.3+5482.2+1000+110+J82+740+400</f>
        <v>39598.9</v>
      </c>
      <c r="J82" s="116">
        <f>1500.4-10-20</f>
        <v>1470.4</v>
      </c>
      <c r="K82" s="116">
        <f t="shared" si="5"/>
        <v>39598.9</v>
      </c>
    </row>
    <row r="83" spans="1:11" ht="75">
      <c r="A83" s="125">
        <v>170703</v>
      </c>
      <c r="B83" s="152" t="s">
        <v>146</v>
      </c>
      <c r="C83" s="115">
        <f t="shared" si="1"/>
        <v>0</v>
      </c>
      <c r="D83" s="120"/>
      <c r="E83" s="120"/>
      <c r="F83" s="120"/>
      <c r="G83" s="120"/>
      <c r="H83" s="120">
        <v>27817.1</v>
      </c>
      <c r="I83" s="116"/>
      <c r="J83" s="116"/>
      <c r="K83" s="116">
        <f t="shared" si="5"/>
        <v>27817.1</v>
      </c>
    </row>
    <row r="84" spans="1:11" ht="30">
      <c r="A84" s="125" t="s">
        <v>224</v>
      </c>
      <c r="B84" s="152" t="s">
        <v>152</v>
      </c>
      <c r="C84" s="115"/>
      <c r="D84" s="120"/>
      <c r="E84" s="120"/>
      <c r="F84" s="120"/>
      <c r="G84" s="120"/>
      <c r="H84" s="120">
        <v>742.9</v>
      </c>
      <c r="I84" s="116"/>
      <c r="J84" s="116"/>
      <c r="K84" s="116">
        <f>C84+H84</f>
        <v>742.9</v>
      </c>
    </row>
    <row r="85" spans="1:11" ht="15">
      <c r="A85" s="119">
        <v>230000</v>
      </c>
      <c r="B85" s="117" t="s">
        <v>154</v>
      </c>
      <c r="C85" s="116">
        <f>D85+E85+F85</f>
        <v>0.1</v>
      </c>
      <c r="D85" s="116"/>
      <c r="E85" s="116"/>
      <c r="F85" s="116">
        <v>0.1</v>
      </c>
      <c r="G85" s="116"/>
      <c r="H85" s="116"/>
      <c r="I85" s="116"/>
      <c r="J85" s="116"/>
      <c r="K85" s="116">
        <f t="shared" si="5"/>
        <v>0.1</v>
      </c>
    </row>
    <row r="86" spans="1:11" ht="30">
      <c r="A86" s="119" t="s">
        <v>225</v>
      </c>
      <c r="B86" s="117" t="s">
        <v>226</v>
      </c>
      <c r="C86" s="116"/>
      <c r="D86" s="116"/>
      <c r="E86" s="116"/>
      <c r="F86" s="116"/>
      <c r="G86" s="116"/>
      <c r="H86" s="120">
        <f>23470.6+1590+550</f>
        <v>25610.6</v>
      </c>
      <c r="I86" s="116"/>
      <c r="J86" s="116"/>
      <c r="K86" s="116">
        <f>C86+H86</f>
        <v>25610.6</v>
      </c>
    </row>
    <row r="87" spans="1:11" ht="75">
      <c r="A87" s="119">
        <v>240900</v>
      </c>
      <c r="B87" s="117" t="s">
        <v>160</v>
      </c>
      <c r="C87" s="115">
        <f aca="true" t="shared" si="7" ref="C87:C96">D87+E87+F87+G87</f>
        <v>0</v>
      </c>
      <c r="D87" s="116"/>
      <c r="E87" s="116"/>
      <c r="F87" s="116"/>
      <c r="G87" s="116"/>
      <c r="H87" s="116">
        <f>2061.1</f>
        <v>2061.1</v>
      </c>
      <c r="I87" s="116"/>
      <c r="J87" s="116"/>
      <c r="K87" s="116">
        <f aca="true" t="shared" si="8" ref="K87:K96">C87+H87</f>
        <v>2061.1</v>
      </c>
    </row>
    <row r="88" spans="1:11" ht="30">
      <c r="A88" s="125"/>
      <c r="B88" s="118" t="s">
        <v>166</v>
      </c>
      <c r="C88" s="115">
        <f t="shared" si="7"/>
        <v>0</v>
      </c>
      <c r="D88" s="120"/>
      <c r="E88" s="120"/>
      <c r="F88" s="116">
        <f>380512.3-338534.6-9012.3-13387.8-19577.6</f>
        <v>0</v>
      </c>
      <c r="G88" s="116"/>
      <c r="H88" s="120"/>
      <c r="I88" s="116"/>
      <c r="J88" s="116"/>
      <c r="K88" s="116">
        <f t="shared" si="8"/>
        <v>0</v>
      </c>
    </row>
    <row r="89" spans="1:11" ht="15">
      <c r="A89" s="125">
        <v>250102</v>
      </c>
      <c r="B89" s="118" t="s">
        <v>161</v>
      </c>
      <c r="C89" s="115">
        <f t="shared" si="7"/>
        <v>627</v>
      </c>
      <c r="D89" s="120"/>
      <c r="E89" s="120"/>
      <c r="F89" s="120">
        <f>3500-2000-200-668.3+800-630-557+1000-388.1-229.5-0.1</f>
        <v>627</v>
      </c>
      <c r="G89" s="120"/>
      <c r="H89" s="120"/>
      <c r="I89" s="116"/>
      <c r="J89" s="116"/>
      <c r="K89" s="116">
        <f t="shared" si="8"/>
        <v>627</v>
      </c>
    </row>
    <row r="90" spans="1:11" ht="45">
      <c r="A90" s="119" t="s">
        <v>167</v>
      </c>
      <c r="B90" s="117" t="s">
        <v>168</v>
      </c>
      <c r="C90" s="115">
        <f t="shared" si="7"/>
        <v>159.6</v>
      </c>
      <c r="D90" s="116"/>
      <c r="E90" s="116"/>
      <c r="F90" s="116">
        <f>163-3.4</f>
        <v>159.6</v>
      </c>
      <c r="G90" s="120"/>
      <c r="H90" s="120"/>
      <c r="I90" s="116"/>
      <c r="J90" s="116"/>
      <c r="K90" s="116">
        <f t="shared" si="8"/>
        <v>159.6</v>
      </c>
    </row>
    <row r="91" spans="1:11" ht="45">
      <c r="A91" s="119">
        <v>250306</v>
      </c>
      <c r="B91" s="117" t="s">
        <v>169</v>
      </c>
      <c r="C91" s="115">
        <f t="shared" si="7"/>
        <v>15512.2</v>
      </c>
      <c r="D91" s="116"/>
      <c r="E91" s="116"/>
      <c r="F91" s="116">
        <f>7890+5482.2+1000+740+400</f>
        <v>15512.2</v>
      </c>
      <c r="G91" s="116"/>
      <c r="H91" s="116"/>
      <c r="I91" s="116"/>
      <c r="J91" s="116"/>
      <c r="K91" s="116">
        <f t="shared" si="8"/>
        <v>15512.2</v>
      </c>
    </row>
    <row r="92" spans="1:11" ht="120">
      <c r="A92" s="119">
        <v>250313</v>
      </c>
      <c r="B92" s="159" t="s">
        <v>236</v>
      </c>
      <c r="C92" s="115">
        <f t="shared" si="7"/>
        <v>10279.1</v>
      </c>
      <c r="D92" s="116"/>
      <c r="E92" s="116"/>
      <c r="F92" s="116">
        <v>10279.1</v>
      </c>
      <c r="G92" s="116"/>
      <c r="H92" s="116"/>
      <c r="I92" s="116"/>
      <c r="J92" s="116"/>
      <c r="K92" s="116">
        <f t="shared" si="8"/>
        <v>10279.1</v>
      </c>
    </row>
    <row r="93" spans="1:11" ht="30">
      <c r="A93" s="119">
        <v>250301</v>
      </c>
      <c r="B93" s="118" t="s">
        <v>170</v>
      </c>
      <c r="C93" s="115">
        <f t="shared" si="7"/>
        <v>62744.8</v>
      </c>
      <c r="D93" s="116"/>
      <c r="E93" s="116"/>
      <c r="F93" s="116">
        <v>62744.8</v>
      </c>
      <c r="G93" s="116"/>
      <c r="H93" s="116"/>
      <c r="I93" s="116"/>
      <c r="J93" s="116"/>
      <c r="K93" s="116">
        <f t="shared" si="8"/>
        <v>62744.8</v>
      </c>
    </row>
    <row r="94" spans="1:11" ht="15">
      <c r="A94" s="119" t="s">
        <v>227</v>
      </c>
      <c r="B94" s="118" t="s">
        <v>185</v>
      </c>
      <c r="C94" s="115">
        <f t="shared" si="7"/>
        <v>0.1</v>
      </c>
      <c r="D94" s="116"/>
      <c r="E94" s="116"/>
      <c r="F94" s="116">
        <f>0.1</f>
        <v>0.1</v>
      </c>
      <c r="G94" s="116"/>
      <c r="H94" s="116"/>
      <c r="I94" s="116"/>
      <c r="J94" s="116"/>
      <c r="K94" s="116">
        <f t="shared" si="8"/>
        <v>0.1</v>
      </c>
    </row>
    <row r="95" spans="1:11" ht="15">
      <c r="A95" s="119" t="s">
        <v>228</v>
      </c>
      <c r="B95" s="118" t="s">
        <v>171</v>
      </c>
      <c r="C95" s="115">
        <f t="shared" si="7"/>
        <v>7950</v>
      </c>
      <c r="D95" s="116"/>
      <c r="E95" s="116"/>
      <c r="F95" s="116">
        <f>5300+2450+200</f>
        <v>7950</v>
      </c>
      <c r="G95" s="116"/>
      <c r="H95" s="116"/>
      <c r="I95" s="116"/>
      <c r="J95" s="116"/>
      <c r="K95" s="116">
        <f t="shared" si="8"/>
        <v>7950</v>
      </c>
    </row>
    <row r="96" spans="1:11" ht="15">
      <c r="A96" s="151">
        <v>250904</v>
      </c>
      <c r="B96" s="160" t="s">
        <v>172</v>
      </c>
      <c r="C96" s="115">
        <f t="shared" si="7"/>
        <v>0</v>
      </c>
      <c r="D96" s="120"/>
      <c r="E96" s="120"/>
      <c r="F96" s="120"/>
      <c r="G96" s="120"/>
      <c r="H96" s="120">
        <v>-10</v>
      </c>
      <c r="I96" s="116">
        <v>-10</v>
      </c>
      <c r="J96" s="116"/>
      <c r="K96" s="116">
        <f t="shared" si="8"/>
        <v>-10</v>
      </c>
    </row>
    <row r="97" spans="1:59" s="122" customFormat="1" ht="15">
      <c r="A97" s="127"/>
      <c r="B97" s="140" t="s">
        <v>173</v>
      </c>
      <c r="C97" s="138">
        <f aca="true" t="shared" si="9" ref="C97:K97">C13+C25+C32+C39+C49+C51+C52+C54+C63+C68+C74+C75+C77+C72</f>
        <v>531290.5</v>
      </c>
      <c r="D97" s="138">
        <f t="shared" si="9"/>
        <v>124966.19999999998</v>
      </c>
      <c r="E97" s="138">
        <f t="shared" si="9"/>
        <v>31320</v>
      </c>
      <c r="F97" s="138">
        <f t="shared" si="9"/>
        <v>345891.8</v>
      </c>
      <c r="G97" s="138">
        <f t="shared" si="9"/>
        <v>29112.5</v>
      </c>
      <c r="H97" s="138">
        <f>H13+H25+H32+H39+H49+H51+H52+H54+H63+H68+H74+H75+H77+H72</f>
        <v>113662.5</v>
      </c>
      <c r="I97" s="138">
        <f>I96+I82+I33+I20</f>
        <v>40941.4</v>
      </c>
      <c r="J97" s="138">
        <f t="shared" si="9"/>
        <v>1470.4</v>
      </c>
      <c r="K97" s="138">
        <f t="shared" si="9"/>
        <v>644953</v>
      </c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</row>
    <row r="98" spans="1:59" s="164" customFormat="1" ht="15">
      <c r="A98" s="161"/>
      <c r="B98" s="162"/>
      <c r="C98" s="130"/>
      <c r="D98" s="130"/>
      <c r="E98" s="130"/>
      <c r="F98" s="130"/>
      <c r="G98" s="130"/>
      <c r="H98" s="130"/>
      <c r="I98" s="130"/>
      <c r="J98" s="130"/>
      <c r="K98" s="130"/>
      <c r="L98" s="163"/>
      <c r="M98" s="171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</row>
    <row r="99" spans="3:11" ht="15">
      <c r="C99" s="165"/>
      <c r="D99" s="165"/>
      <c r="E99" s="165"/>
      <c r="F99" s="165"/>
      <c r="G99" s="165"/>
      <c r="H99" s="165"/>
      <c r="I99" s="165"/>
      <c r="J99" s="165"/>
      <c r="K99" s="165"/>
    </row>
    <row r="100" spans="3:11" ht="15">
      <c r="C100" s="166"/>
      <c r="D100" s="166"/>
      <c r="E100" s="166"/>
      <c r="F100" s="166"/>
      <c r="G100" s="166"/>
      <c r="H100" s="166"/>
      <c r="I100" s="166"/>
      <c r="J100" s="166"/>
      <c r="K100" s="166"/>
    </row>
    <row r="101" ht="15">
      <c r="C101" s="100"/>
    </row>
    <row r="102" spans="3:11" ht="15">
      <c r="C102" s="166"/>
      <c r="D102" s="167" t="s">
        <v>174</v>
      </c>
      <c r="E102" s="167"/>
      <c r="F102" s="167"/>
      <c r="G102" s="167"/>
      <c r="H102" s="166"/>
      <c r="I102" s="167"/>
      <c r="K102" s="166"/>
    </row>
    <row r="103" spans="3:11" ht="15">
      <c r="C103" s="166"/>
      <c r="H103" s="168"/>
      <c r="K103" s="168"/>
    </row>
    <row r="104" ht="15">
      <c r="C104" s="100"/>
    </row>
    <row r="105" ht="15">
      <c r="C105" s="100"/>
    </row>
    <row r="106" ht="15">
      <c r="C106" s="100"/>
    </row>
    <row r="107" ht="15">
      <c r="C107" s="100"/>
    </row>
    <row r="108" ht="15">
      <c r="C108" s="100"/>
    </row>
    <row r="109" ht="15">
      <c r="C109" s="100"/>
    </row>
    <row r="110" ht="15">
      <c r="C110" s="100"/>
    </row>
    <row r="111" ht="15">
      <c r="C111" s="100"/>
    </row>
    <row r="112" ht="15">
      <c r="C112" s="100"/>
    </row>
    <row r="113" ht="15">
      <c r="C113" s="100"/>
    </row>
    <row r="114" ht="15">
      <c r="C114" s="100"/>
    </row>
    <row r="115" ht="15">
      <c r="C115" s="100"/>
    </row>
    <row r="116" ht="15">
      <c r="C116" s="100"/>
    </row>
    <row r="117" ht="15">
      <c r="C117" s="100"/>
    </row>
    <row r="118" ht="15">
      <c r="C118" s="100"/>
    </row>
    <row r="119" ht="15">
      <c r="C119" s="100"/>
    </row>
    <row r="120" ht="15">
      <c r="C120" s="100"/>
    </row>
    <row r="121" ht="15">
      <c r="C121" s="100"/>
    </row>
    <row r="122" ht="15">
      <c r="C122" s="100"/>
    </row>
    <row r="123" ht="15">
      <c r="C123" s="100"/>
    </row>
    <row r="124" ht="15">
      <c r="C124" s="100"/>
    </row>
    <row r="125" ht="15">
      <c r="C125" s="100"/>
    </row>
    <row r="126" ht="15">
      <c r="C126" s="100"/>
    </row>
    <row r="127" ht="15">
      <c r="C127" s="100"/>
    </row>
    <row r="128" ht="15">
      <c r="C128" s="100"/>
    </row>
    <row r="129" ht="15">
      <c r="C129" s="100"/>
    </row>
    <row r="130" ht="15">
      <c r="C130" s="100"/>
    </row>
    <row r="131" ht="15">
      <c r="C131" s="100"/>
    </row>
    <row r="132" ht="15">
      <c r="C132" s="100"/>
    </row>
    <row r="133" ht="15">
      <c r="C133" s="100"/>
    </row>
    <row r="134" ht="15">
      <c r="C134" s="100"/>
    </row>
    <row r="135" ht="15">
      <c r="C135" s="100"/>
    </row>
    <row r="136" ht="15">
      <c r="C136" s="100"/>
    </row>
    <row r="137" ht="15">
      <c r="C137" s="100"/>
    </row>
    <row r="138" ht="15">
      <c r="C138" s="100"/>
    </row>
    <row r="139" ht="15">
      <c r="C139" s="100"/>
    </row>
    <row r="140" ht="15">
      <c r="C140" s="100"/>
    </row>
    <row r="141" ht="15">
      <c r="C141" s="100"/>
    </row>
    <row r="142" ht="15">
      <c r="C142" s="100"/>
    </row>
    <row r="143" ht="15">
      <c r="C143" s="100"/>
    </row>
    <row r="144" ht="15">
      <c r="C144" s="100"/>
    </row>
    <row r="145" ht="15">
      <c r="C145" s="100"/>
    </row>
    <row r="146" ht="15">
      <c r="C146" s="100"/>
    </row>
    <row r="147" ht="15">
      <c r="C147" s="100"/>
    </row>
    <row r="148" ht="15">
      <c r="C148" s="100"/>
    </row>
    <row r="149" ht="15">
      <c r="C149" s="100"/>
    </row>
    <row r="150" ht="15">
      <c r="C150" s="100"/>
    </row>
    <row r="151" ht="15">
      <c r="C151" s="100"/>
    </row>
    <row r="152" ht="15">
      <c r="C152" s="100"/>
    </row>
    <row r="153" ht="15">
      <c r="C153" s="100"/>
    </row>
    <row r="154" ht="15">
      <c r="C154" s="100"/>
    </row>
    <row r="155" ht="15">
      <c r="C155" s="100"/>
    </row>
    <row r="156" ht="15">
      <c r="C156" s="100"/>
    </row>
    <row r="157" ht="15">
      <c r="C157" s="100"/>
    </row>
    <row r="158" ht="15">
      <c r="C158" s="100"/>
    </row>
    <row r="159" ht="15">
      <c r="C159" s="100"/>
    </row>
    <row r="160" ht="15">
      <c r="C160" s="100"/>
    </row>
    <row r="161" ht="15">
      <c r="C161" s="100"/>
    </row>
    <row r="162" ht="15">
      <c r="C162" s="100"/>
    </row>
    <row r="163" ht="15">
      <c r="C163" s="100"/>
    </row>
    <row r="164" ht="15">
      <c r="C164" s="100"/>
    </row>
    <row r="165" ht="15">
      <c r="C165" s="100"/>
    </row>
    <row r="166" ht="15">
      <c r="C166" s="100"/>
    </row>
    <row r="167" ht="15">
      <c r="C167" s="100"/>
    </row>
    <row r="168" ht="15">
      <c r="C168" s="100"/>
    </row>
    <row r="169" ht="15">
      <c r="C169" s="100"/>
    </row>
    <row r="170" ht="15">
      <c r="C170" s="100"/>
    </row>
    <row r="171" ht="15">
      <c r="C171" s="100"/>
    </row>
    <row r="172" ht="15">
      <c r="C172" s="100"/>
    </row>
    <row r="173" ht="15">
      <c r="C173" s="100"/>
    </row>
    <row r="174" ht="15">
      <c r="C174" s="100"/>
    </row>
    <row r="175" ht="15">
      <c r="C175" s="100"/>
    </row>
    <row r="176" ht="15">
      <c r="C176" s="100"/>
    </row>
    <row r="177" ht="15">
      <c r="C177" s="100"/>
    </row>
    <row r="178" ht="15">
      <c r="C178" s="100"/>
    </row>
    <row r="179" ht="15">
      <c r="C179" s="100"/>
    </row>
    <row r="180" ht="15">
      <c r="C180" s="100"/>
    </row>
    <row r="181" ht="15">
      <c r="C181" s="100"/>
    </row>
    <row r="182" ht="15">
      <c r="C182" s="100"/>
    </row>
    <row r="183" ht="15">
      <c r="C183" s="100"/>
    </row>
    <row r="184" ht="15">
      <c r="C184" s="100"/>
    </row>
    <row r="185" ht="15">
      <c r="C185" s="100"/>
    </row>
    <row r="186" ht="15">
      <c r="C186" s="100"/>
    </row>
    <row r="187" ht="15">
      <c r="C187" s="100"/>
    </row>
    <row r="188" ht="15">
      <c r="C188" s="100"/>
    </row>
    <row r="189" ht="15">
      <c r="C189" s="100"/>
    </row>
    <row r="190" ht="15">
      <c r="C190" s="100"/>
    </row>
    <row r="191" ht="15">
      <c r="C191" s="100"/>
    </row>
    <row r="192" ht="15">
      <c r="C192" s="100"/>
    </row>
    <row r="193" ht="15">
      <c r="C193" s="100"/>
    </row>
    <row r="194" ht="15">
      <c r="C194" s="100"/>
    </row>
    <row r="195" ht="15">
      <c r="C195" s="100"/>
    </row>
    <row r="196" ht="15">
      <c r="C196" s="100"/>
    </row>
    <row r="197" ht="15">
      <c r="C197" s="100"/>
    </row>
    <row r="198" ht="15">
      <c r="C198" s="100"/>
    </row>
    <row r="199" ht="15">
      <c r="C199" s="100"/>
    </row>
    <row r="200" ht="15">
      <c r="C200" s="100"/>
    </row>
    <row r="201" ht="15">
      <c r="C201" s="100"/>
    </row>
    <row r="202" ht="15">
      <c r="C202" s="100"/>
    </row>
    <row r="203" ht="15">
      <c r="C203" s="100"/>
    </row>
    <row r="204" ht="15">
      <c r="C204" s="100"/>
    </row>
    <row r="205" ht="15">
      <c r="C205" s="100"/>
    </row>
    <row r="206" ht="15">
      <c r="C206" s="100"/>
    </row>
    <row r="207" ht="15">
      <c r="C207" s="100"/>
    </row>
    <row r="208" ht="15">
      <c r="C208" s="100"/>
    </row>
    <row r="209" ht="15">
      <c r="C209" s="100"/>
    </row>
    <row r="210" ht="15">
      <c r="C210" s="100"/>
    </row>
    <row r="211" ht="15">
      <c r="C211" s="100"/>
    </row>
    <row r="212" ht="15">
      <c r="C212" s="100"/>
    </row>
    <row r="213" ht="15">
      <c r="C213" s="100"/>
    </row>
    <row r="214" ht="15">
      <c r="C214" s="100"/>
    </row>
    <row r="215" ht="15">
      <c r="C215" s="100"/>
    </row>
    <row r="216" ht="15">
      <c r="C216" s="100"/>
    </row>
    <row r="217" ht="15">
      <c r="C217" s="100"/>
    </row>
    <row r="218" ht="15">
      <c r="C218" s="100"/>
    </row>
    <row r="219" ht="15">
      <c r="C219" s="100"/>
    </row>
    <row r="220" ht="15">
      <c r="C220" s="100"/>
    </row>
    <row r="221" ht="15">
      <c r="C221" s="100"/>
    </row>
    <row r="222" ht="15">
      <c r="C222" s="100"/>
    </row>
    <row r="223" ht="15">
      <c r="C223" s="100"/>
    </row>
  </sheetData>
  <mergeCells count="14">
    <mergeCell ref="H2:K2"/>
    <mergeCell ref="H4:K4"/>
    <mergeCell ref="A6:K6"/>
    <mergeCell ref="A7:K7"/>
    <mergeCell ref="H8:K8"/>
    <mergeCell ref="A9:A11"/>
    <mergeCell ref="B9:B11"/>
    <mergeCell ref="C9:G9"/>
    <mergeCell ref="H9:J9"/>
    <mergeCell ref="K9:K11"/>
    <mergeCell ref="C10:C11"/>
    <mergeCell ref="D10:G10"/>
    <mergeCell ref="H10:H11"/>
    <mergeCell ref="J10:J11"/>
  </mergeCells>
  <printOptions/>
  <pageMargins left="0.89" right="0.29" top="0.55" bottom="0.32" header="0.3" footer="0.3"/>
  <pageSetup horizontalDpi="600" verticalDpi="600" orientation="portrait" paperSize="9" scale="65" r:id="rId1"/>
  <rowBreaks count="3" manualBreakCount="3">
    <brk id="37" max="10" man="1"/>
    <brk id="61" max="10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yacenko</cp:lastModifiedBy>
  <cp:lastPrinted>2004-01-23T08:44:58Z</cp:lastPrinted>
  <dcterms:created xsi:type="dcterms:W3CDTF">2003-10-21T11:26:02Z</dcterms:created>
  <dcterms:modified xsi:type="dcterms:W3CDTF">2004-01-23T12:27:24Z</dcterms:modified>
  <cp:category/>
  <cp:version/>
  <cp:contentType/>
  <cp:contentStatus/>
</cp:coreProperties>
</file>