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tabRatio="669" firstSheet="3" activeTab="4"/>
  </bookViews>
  <sheets>
    <sheet name="исх.данные" sheetId="1" r:id="rId1"/>
    <sheet name="свод по оборудованию" sheetId="2" r:id="rId2"/>
    <sheet name="Исходные по сверхнормат ТРЭ" sheetId="3" r:id="rId3"/>
    <sheet name="Снижние сверхнормат ТРЭ" sheetId="4" r:id="rId4"/>
    <sheet name="таб 5 - отсюда только ее брать" sheetId="5" r:id="rId5"/>
    <sheet name="расчет необход. мощности" sheetId="6" r:id="rId6"/>
    <sheet name="сравнение затрат до и после Зах" sheetId="7" r:id="rId7"/>
    <sheet name="Расчет затрат на содержание" sheetId="8" r:id="rId8"/>
    <sheet name="загальн.витрати" sheetId="9" r:id="rId9"/>
    <sheet name="Положит. Эффект " sheetId="10" r:id="rId10"/>
    <sheet name=" Приоритет" sheetId="11" r:id="rId11"/>
    <sheet name="Рабочие места оборудование" sheetId="12" r:id="rId12"/>
    <sheet name="Сводная табл" sheetId="13" r:id="rId13"/>
    <sheet name="рабочая не печать " sheetId="14" r:id="rId14"/>
  </sheets>
  <externalReferences>
    <externalReference r:id="rId17"/>
    <externalReference r:id="rId18"/>
    <externalReference r:id="rId19"/>
  </externalReferences>
  <definedNames>
    <definedName name="_xlnm.Print_Titles" localSheetId="0">'исх.данные'!$2:$5</definedName>
    <definedName name="_xlnm.Print_Area" localSheetId="8">'загальн.витрати'!$B$1:$AF$33</definedName>
    <definedName name="_xlnm.Print_Area" localSheetId="0">'исх.данные'!$A$1:$O$284</definedName>
    <definedName name="_xlnm.Print_Area" localSheetId="13">'рабочая не печать '!$A$1:$N$64</definedName>
    <definedName name="_xlnm.Print_Area" localSheetId="7">'Расчет затрат на содержание'!$A$1:$L$24</definedName>
    <definedName name="_xlnm.Print_Area" localSheetId="5">'расчет необход. мощности'!$A$1:$H$30</definedName>
    <definedName name="_xlnm.Print_Area" localSheetId="1">'свод по оборудованию'!$A$1:$O$28</definedName>
    <definedName name="_xlnm.Print_Area" localSheetId="6">'сравнение затрат до и после Зах'!$A$1:$Y$285</definedName>
    <definedName name="_xlnm.Print_Area" localSheetId="4">'таб 5 - отсюда только ее брать'!$A$1:$AC$34</definedName>
  </definedNames>
  <calcPr fullCalcOnLoad="1"/>
</workbook>
</file>

<file path=xl/sharedStrings.xml><?xml version="1.0" encoding="utf-8"?>
<sst xmlns="http://schemas.openxmlformats.org/spreadsheetml/2006/main" count="2791" uniqueCount="885">
  <si>
    <t>відділ УБОЗ УМВС по вул. Радянська,28</t>
  </si>
  <si>
    <t>відділення Держказначейства по вул. Московська,2</t>
  </si>
  <si>
    <t>музична школа по вул. Саратовська</t>
  </si>
  <si>
    <t>Центральна бібліотека по вул. Першотравнева,121</t>
  </si>
  <si>
    <t>школа № 7 по вул. Саратовська</t>
  </si>
  <si>
    <t>майстерня по вул. Саратовьска,29</t>
  </si>
  <si>
    <t>школа № 7 (начальна) по вул.Нова,12</t>
  </si>
  <si>
    <t>дитячий садок "Світлячок" по вул. Нова,8</t>
  </si>
  <si>
    <t>дитячий садок "Ластівка" по вул. Саратовська,19</t>
  </si>
  <si>
    <t>Державне підприємство ЦРА № 54 по вул. Першотравнева,121</t>
  </si>
  <si>
    <t>КП "Південне" по вул. Радянська,53</t>
  </si>
  <si>
    <t>котнтора котельні № 1</t>
  </si>
  <si>
    <t>міськвоєнкомат по вул. Комсомольська,33</t>
  </si>
  <si>
    <t>відділення податкової інспекції по пер. Радянський,4</t>
  </si>
  <si>
    <t>Міьский Пенсійний фонд по вул. Комсомольска,28</t>
  </si>
  <si>
    <t>будинок міської ради по вул. Першотравнева,83</t>
  </si>
  <si>
    <t>Палац спорту по вул. Комсомольська,22</t>
  </si>
  <si>
    <t>Плавальний басейн по вул. Комсомольська,22</t>
  </si>
  <si>
    <t>профілакторій по вул. Першотравнева,80</t>
  </si>
  <si>
    <t xml:space="preserve">добропільська служба єдиного замовника  </t>
  </si>
  <si>
    <t>гуртожиток по вул. Першотравнева,59</t>
  </si>
  <si>
    <t>гуртожиток по пер. Молодіжний,11</t>
  </si>
  <si>
    <t>ЖБК "Мир" по пер. Сонячний,31</t>
  </si>
  <si>
    <t>ЖБК "Молодіжний"  по пер. Сонячний,20</t>
  </si>
  <si>
    <t>ЖБК "Дружба" по пер. Молодіжний,26</t>
  </si>
  <si>
    <t>ЖБК "Донбас" по пер. Сонячний,11</t>
  </si>
  <si>
    <t>ЖБК "Жовтень" по пер. Сонячний,27</t>
  </si>
  <si>
    <t>спілка співвласників багатоквартирних будинків (ССББ) "Моноліт" по вул. Гагаріна,30</t>
  </si>
  <si>
    <t>ССББ "Рубікон" по пер. Сонячний,30</t>
  </si>
  <si>
    <t>Дитяча лікарня по вул. Першотравнева,75</t>
  </si>
  <si>
    <t>школа № 4 по вул. Першотравнева,73</t>
  </si>
  <si>
    <t>школа № 5 по вул. Комсомольська,30</t>
  </si>
  <si>
    <t>КП "Довіра" по вул. Першотравнева,40</t>
  </si>
  <si>
    <t>ЦРБ (молочна кухня) по вул. Гагаріна,26</t>
  </si>
  <si>
    <t>дитячий садок "Сказка" по пер. Сонячний,18а</t>
  </si>
  <si>
    <t>міська стоматологія по пер.Молодіжний,6</t>
  </si>
  <si>
    <t>школа № 19 по пер. Молодіжний,8а</t>
  </si>
  <si>
    <t xml:space="preserve">Центр дитячої творчості по вул. Молодіжний,8а </t>
  </si>
  <si>
    <t>дитячий садок "Пролісок" по пер. Молодіжний,3а</t>
  </si>
  <si>
    <t>дитячий садок "Вугіллячко" по пер. Молодіжний,8</t>
  </si>
  <si>
    <t>котельня № 2 по вул. Першотравнева,40а</t>
  </si>
  <si>
    <t>котельня № 3 по вул. Першотравнева,40 б</t>
  </si>
  <si>
    <t>котельня № 3а по пер. Санаторний,28а</t>
  </si>
  <si>
    <t>дитячий садок "Дзвіночок" по вул. Соцпраці,29 (3 поверхи)</t>
  </si>
  <si>
    <t>гуртожиток по вул. Советьска,6 (2 поверхи)</t>
  </si>
  <si>
    <t>Філія школи № 11  по вул. Шкільна,9</t>
  </si>
  <si>
    <t>39 житлових будинків по вул. Харківська №№ 1,3,5,7,9, 4,6,8,10,12,по вул. Соцпраці №№ 37,39,41,23,25,29,31,30,32,34, по вул. Радянська №№ 34,36,38,40,42,44,46,48, по вул. Донецька №№ 36,38,40,42,44,46,48,по вул. 30 років Перемоги №№ 3,5,9,7</t>
  </si>
  <si>
    <t>42 житлових будинків по вул. Будівельна №№ 1,3, по вул. Московська №№ 1,2,4,6,8, по вул. Соцпраці №№ 3,4,5,5а,6,7,9,12,13,16, 17,22,24,26,28, по вул. Фрунзе №№ 1,2,4, по вул. Жовтнева №№ 37,35, по вул. Донецька №№ 28,32,14,16,18,22,24, по вул. Горького №№ 23,25,27,29,  по вул. 30 років Перемоги №№ 10,12,14,16</t>
  </si>
  <si>
    <t>УСЗН  по вул. Радянська,28</t>
  </si>
  <si>
    <t>Гуртожиток по вул. Курчатова,92 -3600 кв.м., кліб по вул. Курчатова,13 - 1500 кв.м., спорткомлекс "Ми" по вул. Курчатова,13 - 800 кв.м., їдальня по вул. Курчатова,94 - 200 кв.м.</t>
  </si>
  <si>
    <t>4 житлових будинки по вул. Курчатова №№ 84,86,88,90</t>
  </si>
  <si>
    <t>Шахтарські населені пункти</t>
  </si>
  <si>
    <t>існуючі</t>
  </si>
  <si>
    <t>Котельні, що заміщаються</t>
  </si>
  <si>
    <t xml:space="preserve">відсутнє опалення </t>
  </si>
  <si>
    <t>опалювальна площа, кв.м</t>
  </si>
  <si>
    <t>ЕКО</t>
  </si>
  <si>
    <t>кількість теплопунктів ГДН</t>
  </si>
  <si>
    <t>кількість теплопунктів ЕКО</t>
  </si>
  <si>
    <t xml:space="preserve">Гідродинмічні нагрівачі  ТЕК </t>
  </si>
  <si>
    <t xml:space="preserve">ІК </t>
  </si>
  <si>
    <t>кількість модулів</t>
  </si>
  <si>
    <t>4 житлових будинки по вул. Курчатова №№ 11,78,80,82</t>
  </si>
  <si>
    <t>11 житлових будинків по вул. Сосюри №№ 23,23а,23б, Кірова №№ 122в, 120а, 122 б, 120а, 50 років Жовтня,30б, Станкевського,165б, 167 а, 167б</t>
  </si>
  <si>
    <t>7 житлових будинків по вул. Курчатова №№ 4,6,8,10,12,2, Леніна,36</t>
  </si>
  <si>
    <t>санстанція - 1 поверх</t>
  </si>
  <si>
    <t>Центральна міська лікарня (8 обєктів)</t>
  </si>
  <si>
    <t>2 житлових будинки по вул. Шляхова №№ 25,26</t>
  </si>
  <si>
    <t xml:space="preserve">Всього по с. Гостре </t>
  </si>
  <si>
    <t>місто Українськ</t>
  </si>
  <si>
    <t>Итого с. Кураховка</t>
  </si>
  <si>
    <t>7 -ИК</t>
  </si>
  <si>
    <t>котельня по вул. Добролюбова, 136</t>
  </si>
  <si>
    <t>котельня по вул. Котовського, 2</t>
  </si>
  <si>
    <t>котельня № 2 по вул. Першотравнева, 40а</t>
  </si>
  <si>
    <t>котельня № 3 по вул. Першотравнева,  40 б</t>
  </si>
  <si>
    <t xml:space="preserve">Итого  по  м. Белицкому </t>
  </si>
  <si>
    <t xml:space="preserve">Всього по с. Водянське </t>
  </si>
  <si>
    <t>Вул. Вуглезбутова</t>
  </si>
  <si>
    <t xml:space="preserve">КВТС -20 </t>
  </si>
  <si>
    <t>Итого по м. Белицкое</t>
  </si>
  <si>
    <t>15 житлових будинків по вул. Вузлова №№ 53,55,57,59,61,62,63,64,65, Залізнична №№ 108,110,112,67,84, Леваневського,141</t>
  </si>
  <si>
    <t>школа № 5 по вул. Радянська,91(3 поверхи) -5200 кв.м, будинок податкової інспекції (2 поверхи) -200 кв.м.</t>
  </si>
  <si>
    <t>школа № 4 (3 поверхи) -3414 кв.м., дитячий садок № 4 (2 поверхи) - 1191 кв.м., технікум (4 поверхи) - 1550 кв.м.</t>
  </si>
  <si>
    <t>школа № 2 (2 поверхи)</t>
  </si>
  <si>
    <t xml:space="preserve">дитячий садок № 5 (2 поверхи) </t>
  </si>
  <si>
    <t>6 житлових будинків по вул. Вузлова №№ 41,43,44, Космонавтів №№ 7,9, Бєстужева № 3</t>
  </si>
  <si>
    <t xml:space="preserve">6 житлових будинки по вул. Космонавтів №№ 4,11, Вузлова №№ 49,51, Космонавтів №№ 2,6 (пічне опалення по Космонавтів) </t>
  </si>
  <si>
    <t>3 житлових будинки по вул. Димирова №№ 8,8а, 50 років Жовтня № 18</t>
  </si>
  <si>
    <t xml:space="preserve">залізнична лікарня </t>
  </si>
  <si>
    <t>2 житлових будинки по вул. Радянська № 93, Калініна,124</t>
  </si>
  <si>
    <t>Палац культури - 4448 кв.м., плавальний басейн - 3700 кв.м., гуртожиток (4 поверхи) - 2600 кв.м.</t>
  </si>
  <si>
    <t>будинок прокуратури -200 кв.м., гуртожиток по вул. Леніна,16 - 400 кв.м.</t>
  </si>
  <si>
    <t>35 житлових будинків без вулиць : №№ 8,9,11,12,14,15,16,18,19,20,21,22,23,26,27,28,29,30,31,32,33,36,37,38,39,40,41,42,43,44,45,46,53,56,61</t>
  </si>
  <si>
    <t>дитячий садок № 2 - 1621 кв.м., Палац культури - 7250 кв.м.</t>
  </si>
  <si>
    <t xml:space="preserve">СПТУ (3 поверхи) з майстернями  </t>
  </si>
  <si>
    <t>школа мистецьтв - 2400 кв.м., будинок творчості - 1800 кв.м., стоматологія - 466 кв.м., загс - 50кв.м.</t>
  </si>
  <si>
    <t>школа № 6 (3 поверхи) - 3965 кв.м., клуб "Будівельник" - 800 кв.м., гуртожиток (2 поверхи) - 300 кв.м., дитячий садок № 8 - 1981 кв.м.</t>
  </si>
  <si>
    <t>11 житлових будинків без вулиць: №№ 1,2,3,4,5,6,7,8,9,11,38</t>
  </si>
  <si>
    <t xml:space="preserve">РАЗОМ ПО ШАХТАРСЬКИХ МІСТАХ ОБЛАСТІ </t>
  </si>
  <si>
    <t xml:space="preserve">малопотужні ел. ен. теплонагрівачі </t>
  </si>
  <si>
    <t>м. РОДИНСЬКЕ (Красноармійськ)</t>
  </si>
  <si>
    <t xml:space="preserve">Всього по місту Добропілля  (з малими містами та селищами) </t>
  </si>
  <si>
    <t>котельня № 31</t>
  </si>
  <si>
    <t>котельня № 32</t>
  </si>
  <si>
    <t>котельня № 46</t>
  </si>
  <si>
    <t>котельня по вул. Радянська,4</t>
  </si>
  <si>
    <t>котельня по вул. Добролюбова,136</t>
  </si>
  <si>
    <t>котельня по вул. Котовського,2</t>
  </si>
  <si>
    <t>ТОВ "АСС ЛТД"</t>
  </si>
  <si>
    <t xml:space="preserve">котельня - шахта Краснолиманська, обєкти - територіальна громада  </t>
  </si>
  <si>
    <t xml:space="preserve">Добропільський відділ освіти </t>
  </si>
  <si>
    <t xml:space="preserve">3 п`ятиповерхові буд. по 2 під`їзди           5 трьохповерхові буд. по 2 під.  (будинки по вул. 30 років Перемоги №№ 18, 21, 24, 30, 31, 32, 33, 34)                    </t>
  </si>
  <si>
    <t xml:space="preserve">2 трьохповерхові  буд. по 2 під. (будинки по вул. Кірова №№ 4а, 6а)                    </t>
  </si>
  <si>
    <t>2 житлових будинки по вул. Радянська № 89 і по вул. Сосюри № 26</t>
  </si>
  <si>
    <t>4 житлових будинки по вул. Радянська№№ 30,57,47, по вул. Макроусова № 50</t>
  </si>
  <si>
    <t>1 житловий будинок по вул. Леніна,10</t>
  </si>
  <si>
    <t>1 житловий будинок по вул. Курчатова№ 9</t>
  </si>
  <si>
    <t>1 житловий будинок по вул. Космонавтів,8</t>
  </si>
  <si>
    <t>25 житлових будинків по вул. Леніна №№ 13,15,17,19,20,20а,21,32,32а, 34а,34б,34в, Леніна №№ 18,22,22а, 24а,24б,26а,28,28а,55, Ємченка №№ 1,2,3,по вул. Артема № 2</t>
  </si>
  <si>
    <t xml:space="preserve">20 житлових будинків по вул. Комуністична №№ 20,22,24,26,2, Постишева № 82, Джуліна №№ 11,14,16, Калініна № 87, Макроусова,72, Пушкіна №№ 4,6,6а, 7,9,21,24, Радянська № 61, вул.346-ої стрелк. дивізії № 5, вул. Леніна № 11  </t>
  </si>
  <si>
    <t xml:space="preserve">КВТС -20 по вул. Вуглезбу-това </t>
  </si>
  <si>
    <t>2 трьохповерхові буд. по 4 під`їзди   1 чотрирьохповерхові буд. по 3 під.             1 трьохпов. буд. по 3   під`їзди,                   7 трьохповерх. буд.  по 2 під. (будинки  по вул. 30 років Перемоги №№ 1, 2, 3, 8, 9, 10, 11, 12, 13, 19, 20)</t>
  </si>
  <si>
    <t>котельня            № 19</t>
  </si>
  <si>
    <t>котельня            № 17</t>
  </si>
  <si>
    <t>котельня           № 17</t>
  </si>
  <si>
    <t xml:space="preserve">адреса об`єкта </t>
  </si>
  <si>
    <t xml:space="preserve">ел/ен (малопотужний електрокотел) </t>
  </si>
  <si>
    <t>котельня № 1 по вул. Першотравнева, 56</t>
  </si>
  <si>
    <t xml:space="preserve">х-ка опалювальних об`єктів  </t>
  </si>
  <si>
    <t>Місто (селище), вулиця</t>
  </si>
  <si>
    <t>Гідродинамічні нагрівачі (ТЕК-4, ТЕК-5)</t>
  </si>
  <si>
    <t>ВАТ "ДОЕ"</t>
  </si>
  <si>
    <t>ТА</t>
  </si>
  <si>
    <t>ИК</t>
  </si>
  <si>
    <t>ЭКО</t>
  </si>
  <si>
    <t>8-ТЭК</t>
  </si>
  <si>
    <t>5-ТЭК</t>
  </si>
  <si>
    <t>6-ИК</t>
  </si>
  <si>
    <t>10-ИК</t>
  </si>
  <si>
    <t xml:space="preserve"> "Расчет затрат  на содержание"</t>
  </si>
  <si>
    <t>Прогнозный срок окупаемости , отопит/сезон</t>
  </si>
  <si>
    <t>Итого</t>
  </si>
  <si>
    <t>№</t>
  </si>
  <si>
    <t>тис. грн</t>
  </si>
  <si>
    <t>1-ТА,  9 -ИК</t>
  </si>
  <si>
    <t>Ж/фонд</t>
  </si>
  <si>
    <t>Соц/сфера</t>
  </si>
  <si>
    <t>ОБЩАЯ</t>
  </si>
  <si>
    <t>Технічний стан теплових мереж (% зносу)</t>
  </si>
  <si>
    <t>Витрати на реконструкцію, тис.грн.</t>
  </si>
  <si>
    <t>Існуючий стан теплових мереж</t>
  </si>
  <si>
    <t>Опалювальна площа, кв.м.</t>
  </si>
  <si>
    <t>Характеристика котелень</t>
  </si>
  <si>
    <t>опалюваль-на площа, кв.м.</t>
  </si>
  <si>
    <t xml:space="preserve">Таблиця розрахунку економічного ефекту </t>
  </si>
  <si>
    <t>Витрати на реконстр. при існуюч. Схемі,   тис.грн.</t>
  </si>
  <si>
    <t>Технічний стан теплових мереж             (% зносу)</t>
  </si>
  <si>
    <t>Довжина теплових мереж  (магистральних), км</t>
  </si>
  <si>
    <t>Довжина теплових мереж  (внутрибуд.), км</t>
  </si>
  <si>
    <t>Стоимость 1 м2  (тыс.грн.)</t>
  </si>
  <si>
    <t>Стоимость работ по реконструкции и модернизации котелен (тыс.грн.)</t>
  </si>
  <si>
    <t>Стоимость проектных работ (тыс.грн)</t>
  </si>
  <si>
    <t xml:space="preserve">Шахтарські міста </t>
  </si>
  <si>
    <t xml:space="preserve">Кількість котелень, що працюють на твердому або рідкому паливі </t>
  </si>
  <si>
    <t>Вартість виконання робіт по реконструкції і модернізації котелень, тис.грн.</t>
  </si>
  <si>
    <t>Гаряче водопостачання</t>
  </si>
  <si>
    <t xml:space="preserve">Технолгія електроопалення </t>
  </si>
  <si>
    <t xml:space="preserve">ДП "Підприємство комунальних котелень і теплових мереж" </t>
  </si>
  <si>
    <t>2 трьохповерхові буд. по 4 під`їзди,   1 чотрирьохповерхові буд. по 3 під.,  1  трьохпов. буд. по 3   під`їзди,  7 трьохповерх. буд.  по 2 під. (буд.  по вул. 30 років Перемоги № 1, 2, 3, 8, 9, 10, 11, 12, 13, 19, 20)</t>
  </si>
  <si>
    <t xml:space="preserve">3 п`ятиповерхові буд.  по 2 під`їзди, 5  трьохповерхові буд.  по 2 під.  (буд.  по вул. 30 років Перемоги № 18,  21,  24,  30,  31,  32,  33,  34)                    </t>
  </si>
  <si>
    <t xml:space="preserve">2 трьохповерхові  буд.  по 2  під. (буд.  по вул. Кірова № 4а, 6а)                    </t>
  </si>
  <si>
    <t xml:space="preserve">1 чотрирьохет. буд.  по 3 під.,  2  трьохет. буд. по 3  під.   (буд. по вул. Т. Бірлевої № 69,  71 та  по  пер.Кіровогордаський № 1)                   </t>
  </si>
  <si>
    <t xml:space="preserve">4 трьохповерхові буд. по 3 під. (буд. вул. Колумба № 17, 19, 21 та по вул. Крилова № 30)                     </t>
  </si>
  <si>
    <t xml:space="preserve">лінії електропередач            (ВЛ и КЛ) </t>
  </si>
  <si>
    <t>вул. Колумба,  7</t>
  </si>
  <si>
    <t>вул. Курська,  36</t>
  </si>
  <si>
    <t>вул. Чекістів,  24</t>
  </si>
  <si>
    <t>вул. Гончарова,  8</t>
  </si>
  <si>
    <t>котельня  № 19</t>
  </si>
  <si>
    <t>котельня   № 17</t>
  </si>
  <si>
    <t xml:space="preserve"> </t>
  </si>
  <si>
    <t>20 житлових буд.  (буд.  по вулиці Жовтнева № 47, 48, 49, 50, 51, 52, 53, 31, 33, 29, 27, 25, 23, 30, 32,  34, 36, 40, 42, 44</t>
  </si>
  <si>
    <t xml:space="preserve"> 14 житлових буд. (буд.  по вул. Піонерська № 22, 12, 18, 20,  6, 8, 10,1,   буд. по вул. Комсомольська № 33, 39, 40, 41, 42, буд. по вул. Матросова № 57)</t>
  </si>
  <si>
    <t>6-ТЭК , 1-ТА</t>
  </si>
  <si>
    <t>житловий буд. 9 поверхів, 3 під`їзди (буд.  по вул. Брюсова № 8)</t>
  </si>
  <si>
    <t xml:space="preserve">житловий буд.  10 поверхів, 2 під`їзди (буд.  по вул. Будівельників № 5) </t>
  </si>
  <si>
    <t>житловий буд.  3 поверхи, 4 під`їзди ( буд. по вул. Дарвіна №7)</t>
  </si>
  <si>
    <t>Школа № 24 - 4 поверхи, вул. Гончарова  №8</t>
  </si>
  <si>
    <t>Дитячий будинок - 3 поверхи,  вул. Курська №36</t>
  </si>
  <si>
    <t>Дитячий сад - ясла - 2 поверхи,  вул. Чекістів  №24</t>
  </si>
  <si>
    <t>школа - 3 поверхи,  вул. Квітки № 27</t>
  </si>
  <si>
    <t>школа - 2 поверхи,   вул. Мурманьска № 51</t>
  </si>
  <si>
    <t xml:space="preserve">Первомайська ОШ - 3 поверхи,   вул. Адорадського №1 </t>
  </si>
  <si>
    <t>м.  ШАХТАРСЬК</t>
  </si>
  <si>
    <t>житлові буд. 2 двохповерхові будинки по 3 під`їзди і 1 двохповерховий  будинок по 2 під`їзди (буд. по  вул. 40 років Жовтня № 2, 4, 6 )</t>
  </si>
  <si>
    <t xml:space="preserve">житловий буд.  2 поверхи, 3 під`їзди (буд.  по вул. Пушкіна, №40) </t>
  </si>
  <si>
    <t>житлові буд.  5 двохповерхових  будинків по 2 під`їзди і 1 двохповерховий  будинок  1 під`їзд (буд. по  по вул. Назаренка № 2, 4 , 20,  22, 27, 29)</t>
  </si>
  <si>
    <t>школа № 4  - 3 поверхи</t>
  </si>
  <si>
    <t xml:space="preserve">школа № 8  - 1 поверх </t>
  </si>
  <si>
    <t>школа № 9 - 3 поверхи</t>
  </si>
  <si>
    <t>школа № 10  - 2 поверхи</t>
  </si>
  <si>
    <t>Загальні витрати на реалізацію заходів, у т.ч.</t>
  </si>
  <si>
    <t>Зниження фактичних технологічних витрат електроенергії (ТВЕ) над розрахунковими після впровадження заходів</t>
  </si>
  <si>
    <r>
      <t xml:space="preserve">Термін окупності заходів               </t>
    </r>
    <r>
      <rPr>
        <b/>
        <sz val="12"/>
        <rFont val="Times New Roman CYR"/>
        <family val="1"/>
      </rPr>
      <t>(урахування проектних витрат + витрат на переобладнання + зовнішнє електропостачання + реконструкція теплових мереж)</t>
    </r>
  </si>
  <si>
    <r>
      <t xml:space="preserve">Термін окупності заходів               </t>
    </r>
    <r>
      <rPr>
        <b/>
        <sz val="12"/>
        <rFont val="Times New Roman CYR"/>
        <family val="1"/>
      </rPr>
      <t>(урахування проектних витрат + витрат на переобладнання)</t>
    </r>
  </si>
  <si>
    <t>житлові буд. 2 двохповерхових  будинків по 2 під`їзди (буд.  по вул. Шосейна № 5, 7)</t>
  </si>
  <si>
    <t>школа № 13  - 3 поверхи</t>
  </si>
  <si>
    <t>школа № 14- 3 поверхи</t>
  </si>
  <si>
    <t>школа № 16- 2 поверхи</t>
  </si>
  <si>
    <t>школа № 21- 3 поверхи</t>
  </si>
  <si>
    <t>школа № 22 - 3 поверхи</t>
  </si>
  <si>
    <t>дитячий садок "Теремок"- 2 поверхи</t>
  </si>
  <si>
    <t>дитячий садок "Сокіл"  - 2 поверхи</t>
  </si>
  <si>
    <t>дитячий садок "Схід" - 2 поверхи</t>
  </si>
  <si>
    <t>дитячий садок "Аленька квітка"- 2 поверхи</t>
  </si>
  <si>
    <t>міська поліклініка № 1- 3 поверхи</t>
  </si>
  <si>
    <t>міська поліклініка № 2 - 3 поверхи</t>
  </si>
  <si>
    <t>міська поліклініка № 3-1 поверх</t>
  </si>
  <si>
    <t>16-ТЭК, 4-ТА</t>
  </si>
  <si>
    <t xml:space="preserve">м.  НОВОГРОДІВКА </t>
  </si>
  <si>
    <t>30 житлових буд.  3 чотирьохповерхових будинків по 4 під`їзди, 26 п`ятиповерхових будинків  по 4 під`їзди, 1 шостиповерховий  будинок по 4 під`їзди (буд.  по вул. Гагаріна № 1 ,3, 5, 7, 9, 11, 13, буд.  по вул. Леніна № 54, 56,  буд. по вул. Мічуріна № 2, 4, 6, 8, 14, 16, 18, 22, 24, 28, 30, 32, 36, 38, 40, 42,  буд.  по вул. 40 років Жовтня № 31, 33, 35, 37, 39)</t>
  </si>
  <si>
    <t xml:space="preserve">КВТС -20 по вул. Вуглезбутова </t>
  </si>
  <si>
    <t>1-ИК, 11-ТА</t>
  </si>
  <si>
    <t xml:space="preserve">селище Щербіновка, вул. Шевченко№  32 </t>
  </si>
  <si>
    <t xml:space="preserve">Школа № 20 - 2 поверхи </t>
  </si>
  <si>
    <t>1-ИК,  1-ТА</t>
  </si>
  <si>
    <t xml:space="preserve">вул. Курчатова  №10 </t>
  </si>
  <si>
    <t xml:space="preserve">вул. Леніна№ 10 </t>
  </si>
  <si>
    <t>2 житлових буд.  по вул. Радянська № 89 і по вул. Сосюри № 26</t>
  </si>
  <si>
    <t>4 житлових буд.  вул. Радянська№ 30, 57, 47, по вул. Макроусова № 50</t>
  </si>
  <si>
    <t>житлових буд.  по вул. Курчатова № 84, 86, 88, 90</t>
  </si>
  <si>
    <t>4 житлових буд.  по вул. Курчатова № 11, 78, 80, 82</t>
  </si>
  <si>
    <t>житлові буд.  двохетажні будинки по 2 пі д`їзди  ( буд. кварталу Керамік №  23, 24, 25,26)</t>
  </si>
  <si>
    <t>11 житлових буд.   по вул. Сосюри № 23, 23а, 23б,  по вул. Кірова № 122в, 120а, 122 б, 120а,  по вул. 50 років Жовтня№ 30б,  по вул. Станкевського№ 165б, 167 а, 167б</t>
  </si>
  <si>
    <t>школа № 5 -(3 поверхи,  по вул. Радянська № 91-5200 кв.м, будинок податкової інспекції  - 2 поверхи  -200 кв.м.</t>
  </si>
  <si>
    <t>Гуртожиток по вул. Курчатов № 92 -3600кв.м.,  кліб по вул. Курчатова№ 13 - 1500кв.м.,  спорткомлекс "Ми" по вул. Курчатова№13 - 800 кв.м., їдальня по вул. Курчатова№94 - 200 кв.м.</t>
  </si>
  <si>
    <t>школа № 4 - 3 поверхи -3414кв.м., дитячий садок №4 - 2 поверхи - 1191 кв.м., технікум - 4 поверхи - 1550кв.м.</t>
  </si>
  <si>
    <t>школа № 2 - 2 поверхи</t>
  </si>
  <si>
    <t xml:space="preserve">школа № 3 -3 поверхи </t>
  </si>
  <si>
    <t>школа № 7 - 3 поверхи</t>
  </si>
  <si>
    <t>дитячий садок № 5 - 2 поверхи</t>
  </si>
  <si>
    <t>Центральна міська лікарня  (8 обєктів)</t>
  </si>
  <si>
    <t>школа № 6 - 3 поверхи - 3965 кв.м.,  клуб "Будівельник" - 800 кв.м., гуртожиток- 2 поверхи - 300кв.м.,  дитячий садок №8 - 1981 кв.м.</t>
  </si>
  <si>
    <t>Палац культури - 444 кв.м.,  плавальний басейн - 3700кв.м.,  гуртожиток  - 4 поверхи - 2600 кв.м.</t>
  </si>
  <si>
    <t>6-ЭКО,   20 -ИК</t>
  </si>
  <si>
    <t>6-ТЭК ,  5-ИК</t>
  </si>
  <si>
    <t>1-ЭКО,    7-ИК</t>
  </si>
  <si>
    <t>36-ИК ,   1-ЭКО</t>
  </si>
  <si>
    <t>1-ТА,   1-ИК</t>
  </si>
  <si>
    <t>1-ЭКО,  11-ИК,                   2-ТА</t>
  </si>
  <si>
    <t>повітряних</t>
  </si>
  <si>
    <t>кабельних</t>
  </si>
  <si>
    <t xml:space="preserve">Средняя тыс.грн на 1 кВ.м </t>
  </si>
  <si>
    <t>Средняя тыс.грн  на 1 Мвт</t>
  </si>
  <si>
    <t>Средняя тыс.грн на 1 км</t>
  </si>
  <si>
    <t xml:space="preserve">Средняя протяженност на 1 котельную, км </t>
  </si>
  <si>
    <t xml:space="preserve">Витрати на реконструкцію тепломереж, тис.грн. </t>
  </si>
  <si>
    <t xml:space="preserve">Необхідні річні витрати електроенергії на виробництво теплоенергії </t>
  </si>
  <si>
    <t>всього</t>
  </si>
  <si>
    <t xml:space="preserve">на 1 кв.м. опалювальної площі </t>
  </si>
  <si>
    <t>тис. Гкал</t>
  </si>
  <si>
    <t>тис. кВт.годин</t>
  </si>
  <si>
    <t>грн/кв.м.</t>
  </si>
  <si>
    <t>п. Цукурино</t>
  </si>
  <si>
    <t xml:space="preserve">или </t>
  </si>
  <si>
    <t>грн/Гкал</t>
  </si>
  <si>
    <t>Итого затраты на выработу тепла після виконання заходів (э/э+ затраты на содержание+амортотчисления), при условии уд.  коэффициент: по Добропольской теплосети  - 0,2;  по Селидовской теплосети -  0,15; Торез  - 0,1; Снежное - 0,2 ; Шахтерск -0,15;  Дзержинск - 0,22;  Дебальцево  - 0,22</t>
  </si>
  <si>
    <t>Приведенные затраты на выработку тепла (электроэнергия+ затраты на содержание), при условии уд.  коэффициента объема тепла на 1 кв.м. в год по данным теплосетей: по Добропольской теплосети  - 0,2;  по Селидовской теплосети -  0,15; Торез  - 0,1; Снежное - 0,2 ; Шахтерск -0,15;  Дзержинск - 0,22;  Дебальцево  - 0,22</t>
  </si>
  <si>
    <t>Обсяг коштів, необхідних для реконструкції існуючих котелень і теплових мереж без впровадження Заходів з електроопалення (для забезпечення підвищення якості послуг)</t>
  </si>
  <si>
    <t>необхідні витрати на реконструкцію котелень, тис.грн.</t>
  </si>
  <si>
    <t>необхіднгі витрати на реконструкцію теплових мереж, тис.грн.</t>
  </si>
  <si>
    <t>довжина магістральних теплових мереж , км</t>
  </si>
  <si>
    <r>
      <t xml:space="preserve">школа № 24 по вул. Р. Люксембург, </t>
    </r>
    <r>
      <rPr>
        <sz val="14"/>
        <color indexed="8"/>
        <rFont val="Times New Roman"/>
        <family val="1"/>
      </rPr>
      <t>26</t>
    </r>
  </si>
  <si>
    <t>дитячий садок "Світлячок" по вул. Донецька,30 (2 поверхи)</t>
  </si>
  <si>
    <t>всього витрати на реконструкцію котелень і теплових мереж без впровадження Заходів (економія коштів у разі впровадження Заходів), тис.грн.</t>
  </si>
  <si>
    <t>Економія (-)  паливної складової, тис.грн/рік після впровадження Заходів</t>
  </si>
  <si>
    <t>Зниження понаднормативних витрат електроенергії на її транспортування в мережах в результаті впровадження Заходів, тис.грн.</t>
  </si>
  <si>
    <t>Зменшення платежів за забруднення навоклишнього середовища в процесі реалізації Заходів, тис.грн.</t>
  </si>
  <si>
    <t>Загальний економічний ефект, тис.грн.</t>
  </si>
  <si>
    <t>з урахуванням тільки витрат на  переобладнання опалювальними електроустановками, тис.грн. (проектні+ реконструкція/модернизація)</t>
  </si>
  <si>
    <t>з урахуванням загальних витрат на реалізацію Заходів, тис.грн. (проектні+ реконструкція/модернізація котелень+зовнішнє електропостачання +реконструкція теплових мереж)</t>
  </si>
  <si>
    <t>Прогнозований термін окупності Заходів,                      опалювальних періодів</t>
  </si>
  <si>
    <t xml:space="preserve">Впровадження технології </t>
  </si>
  <si>
    <t xml:space="preserve">існуюча продукутивність </t>
  </si>
  <si>
    <t>кількість продукції, од.</t>
  </si>
  <si>
    <t>кількість персоналу, люд.                        (1-бригады)</t>
  </si>
  <si>
    <t>термін комплектації, доба</t>
  </si>
  <si>
    <t>очікуєма продукутивність в рік однією бригадою</t>
  </si>
  <si>
    <t xml:space="preserve">необхідний обсяг для реалзації Заходів </t>
  </si>
  <si>
    <t>кількість персоналу, люд.</t>
  </si>
  <si>
    <t>кількість бригад, од.</t>
  </si>
  <si>
    <t xml:space="preserve">Навявність бригад, од. </t>
  </si>
  <si>
    <t xml:space="preserve">додатково </t>
  </si>
  <si>
    <t>кількітсь персоналу, люд.</t>
  </si>
  <si>
    <t xml:space="preserve">додаткове сервісне обслуговування  </t>
  </si>
  <si>
    <t>всього, люд.</t>
  </si>
  <si>
    <t xml:space="preserve">кількість персоналу </t>
  </si>
  <si>
    <t>Ітого нових робочих місць</t>
  </si>
  <si>
    <t xml:space="preserve">1- керівник, 1- бухгалтер, 1- водій, 50 - електриків </t>
  </si>
  <si>
    <t xml:space="preserve">1- керівник, 1- бухгалтер, 1- водій, 15 - електриків </t>
  </si>
  <si>
    <t xml:space="preserve">1- керівник, 1- бухгалтер, 1- водій, 25 - електриків, 25 - сантехніків </t>
  </si>
  <si>
    <t>ГДН</t>
  </si>
  <si>
    <t xml:space="preserve">Разом ЕКО, ІК, ТА </t>
  </si>
  <si>
    <t xml:space="preserve">Разом по Заходах </t>
  </si>
  <si>
    <t>Один. виміру</t>
  </si>
  <si>
    <t xml:space="preserve">проектні роботи </t>
  </si>
  <si>
    <t>тис. Гкал/рік</t>
  </si>
  <si>
    <t xml:space="preserve">% від обсягу понаднормативних ТВЕ </t>
  </si>
  <si>
    <t xml:space="preserve">Річний ефект від економії витрат на реконтрукцію існуючих котелень і теплових мереж </t>
  </si>
  <si>
    <t xml:space="preserve">Економія паливної складової </t>
  </si>
  <si>
    <t xml:space="preserve">Річний ефект від зменшення платежів за забруднення навколишнього середовища, </t>
  </si>
  <si>
    <t xml:space="preserve">Показники </t>
  </si>
  <si>
    <r>
      <t xml:space="preserve">Середня собівартість виробництва теплоенергії після впровадження заходів </t>
    </r>
    <r>
      <rPr>
        <sz val="12"/>
        <rFont val="Times New Roman CYR"/>
        <family val="1"/>
      </rPr>
      <t xml:space="preserve">(урахування витрат на виробництво електроенергії та витрат на утримання електротеплопунктів) </t>
    </r>
  </si>
  <si>
    <t xml:space="preserve">Кількість створених нових робочих місць </t>
  </si>
  <si>
    <t>од.</t>
  </si>
  <si>
    <t>№ п.п.</t>
  </si>
  <si>
    <t>вул. Жовтнева                  (с. Булавінка)</t>
  </si>
  <si>
    <t>вул. Комсомольська        (с. Ольховатська)</t>
  </si>
  <si>
    <t>котельня № 19 по вул. Радянська, 44</t>
  </si>
  <si>
    <t xml:space="preserve">Населені пункти </t>
  </si>
  <si>
    <t xml:space="preserve">Кількість трансформа-торних підстанцій </t>
  </si>
  <si>
    <t>Клькість трансформаторів</t>
  </si>
  <si>
    <t>Довжина ліній електро-передач (повітряних/кабельних)</t>
  </si>
  <si>
    <t>Потреба в реконструкції та заміні в рамках Програми "Тепло"</t>
  </si>
  <si>
    <t xml:space="preserve">Потреба в будівництві в рамках Програми "Тепло" </t>
  </si>
  <si>
    <t xml:space="preserve">Витрати на реконструкцію підстанцій та електричних мереж </t>
  </si>
  <si>
    <t>Витрати на будівництво  підстанцій та електричних мереж</t>
  </si>
  <si>
    <t xml:space="preserve">Витрати на зонний облік електрое-нергії </t>
  </si>
  <si>
    <t xml:space="preserve">Загальні витрати </t>
  </si>
  <si>
    <t xml:space="preserve"> 0,4 кВ </t>
  </si>
  <si>
    <t xml:space="preserve">6-10 кВ </t>
  </si>
  <si>
    <t>(для електро-опалення)</t>
  </si>
  <si>
    <t>трансформатори</t>
  </si>
  <si>
    <t>трансформаторних підстанцій</t>
  </si>
  <si>
    <t xml:space="preserve">ліній електропередач </t>
  </si>
  <si>
    <t>тис.кВт.годин</t>
  </si>
  <si>
    <t>одиниць</t>
  </si>
  <si>
    <t>потужінсть       ( кВА )</t>
  </si>
  <si>
    <t xml:space="preserve">одиниць </t>
  </si>
  <si>
    <t>км</t>
  </si>
  <si>
    <t>МВт</t>
  </si>
  <si>
    <t>потужінсть   ( кВА )</t>
  </si>
  <si>
    <t xml:space="preserve"> одиниць</t>
  </si>
  <si>
    <t>напруга</t>
  </si>
  <si>
    <t xml:space="preserve"> км</t>
  </si>
  <si>
    <t>ПС</t>
  </si>
  <si>
    <t>тис.грн.</t>
  </si>
  <si>
    <t xml:space="preserve">тис.грн. </t>
  </si>
  <si>
    <t>грн/1 Гкал</t>
  </si>
  <si>
    <t xml:space="preserve">м. Добропілля </t>
  </si>
  <si>
    <t xml:space="preserve">м. Білозерське </t>
  </si>
  <si>
    <t xml:space="preserve">м. Білицьке </t>
  </si>
  <si>
    <t xml:space="preserve">с. Новодонецьке </t>
  </si>
  <si>
    <t xml:space="preserve">м. Селидове </t>
  </si>
  <si>
    <t xml:space="preserve">м. Гірник </t>
  </si>
  <si>
    <t xml:space="preserve">м. Українськ </t>
  </si>
  <si>
    <t xml:space="preserve">м. Дзержинськ </t>
  </si>
  <si>
    <t xml:space="preserve">м. Новогродівка </t>
  </si>
  <si>
    <t xml:space="preserve">м. Єнакієве </t>
  </si>
  <si>
    <t xml:space="preserve">м. Зугрес </t>
  </si>
  <si>
    <t xml:space="preserve">м. Родинське </t>
  </si>
  <si>
    <t xml:space="preserve">м. Сніжне </t>
  </si>
  <si>
    <t xml:space="preserve">м. Торез </t>
  </si>
  <si>
    <t xml:space="preserve">м. Шахтарськ </t>
  </si>
  <si>
    <t xml:space="preserve">м. Дебальцеве </t>
  </si>
  <si>
    <t>23 житлових будинки по 5 поверхів по вул. Чапаєва №№ 1а, 2а, 8,14, по вул. Піонерська №№ 2а,4а,11, по вул. Корнієнка №№ 3,4,5, по вул. Радянська №№ 2а,3, вул. Леніна 9а, по вул. Ленінградська №№ 4а,5а,6а, по вул. Калініна №№ 8,7а,2а,20, 22,24 (7 будинків по 6 під`їздів, 1 будинок - 2 під`їзди, 2 будинки по 5 під`їздів, 11 будинків по 4 під`їзди)</t>
  </si>
  <si>
    <r>
      <t xml:space="preserve">школа № 24 по вул. Р. Люксембург, </t>
    </r>
    <r>
      <rPr>
        <sz val="22"/>
        <color indexed="8"/>
        <rFont val="Times New Roman"/>
        <family val="1"/>
      </rPr>
      <t>26</t>
    </r>
  </si>
  <si>
    <t>48 житлових будинків по 2 поверхи по вул. Піонерська №№ 2,4,6,8, по вул. Чапаєва №№ 1, 2,3,4,5,6,7,10,11,12,13, по вул. Калініна №№ 1,1а,3а,2,3,4,5,6, 7, 9,10,11,13,17, по вул. Радянська  № 5, по вул. Леніна № 10, по вул. Щебзаводська №№ 11,26,25,2,4,5,1,8, 10,12, 14,15, 16,18,19, по вул. Ленінградська №№ 17,18 (8 будинків по 2 під`їзди, 11 будинків по 3 під`їзди, 29 будинків по 1 під`їзду)</t>
  </si>
  <si>
    <t>житлові будинки по вул. Рятувальній №№ 36,38,18 (два двохповерхові будинки та один одноповерховий )</t>
  </si>
  <si>
    <t>житловий будинок по вул. Гагаріна, 7 (2 поверхи, 2 підїзди)</t>
  </si>
  <si>
    <t>10 житлових будинків по вулиці Шевченка №№ 73,75, пер. Красноармійський № 41, вул.Радянська №№  64,66,68, 70,58,62,  пер. Стадіонний № 31 ( 6 п`ятиповерхових будинків по 4 під`їзди, 3 двохповерхові будинки по 2 під`їзди, один п`ятиповерховий будинок - 6 під`їздів)</t>
  </si>
  <si>
    <t>8 житлових будинків по вулиці Донецька №№ 81,87, пер. Стадіонний,25, Шевченка №№ 78,84, Мостовий №№ 21,30, Визволення Донбасу № 22 (5 п`ятиповерхових будинків по 4 під`їзди, 3 п`ятиповерхових будинків по 6 під`їздів)</t>
  </si>
  <si>
    <t>7 житлових будинків по вул. Котовського №№32,34, 36,вул. Визволення Донбасу №№ 31,33,35 ( 6 п`ятиповерхових будинків по 4 під`їзди, 1 п`ятиповерховий будинок - 6 під`їздів)</t>
  </si>
  <si>
    <t>7 житлових будинків по вулиці Шевченка №№ 29,31,33,46,48,     по вул. Донецька №№ 51,55 (5 п`ятиповерхових будинків по 4 під`їзди, 2 п`ятиповерхових будинків по 6 під`їзди)</t>
  </si>
  <si>
    <t>13 житлових  будинків по вулиці Пушкіна №№ 28,30,32,34, Кірова,14Радянська №№ 27,29,31, 33,35, пер. Красноармійський № 51, пер.Стадіонний № 54 ( 11 п`ятиповерхових будинків по 4 під`їзди, 2 п`ятиповерхових будинків по 6 під`їзди)</t>
  </si>
  <si>
    <t>41 житловий будинок (2 двохповерхових будинків  по 3 під`їзди, 23 двохповерхових будинків по 2 під`їзди, 11 двохповерхових будинків по 1 під`їзду, 4 трьохповерхових будинків по 4 під`їзди, 1 двохповерховий будинок - 4 під`їзди)</t>
  </si>
  <si>
    <t xml:space="preserve">30 житлових будинків (1 п`ятиповерховий  будинок - 6 під`їздів, 8 п`ятиповерхових будинків по 4 під`їзди, 1 п`ятиповерховий  будинок - 8 під`їздів, 2 чотирьохповерхових будинків по 4 під`їзди, 1 чотрьохповерховий  будинок -3 під`їзди, 2 чотрьохповерхових будинків по 2 під`їзди, 1 п`ятиповерховий  будинок -3 під`їзди, 10 трьохповерхових будинків по 2 під`їзди, 3 трьохповерхових будинків по 1 під`їзду, 1 двохповерховий  будинок - 1 під`їзд) </t>
  </si>
  <si>
    <t>40 житлових будинків  (1  п`ятиповерховий  будинок - 7 під`їздів, 1 п`ятиповерховий  будинок -4 під`їзди, 26 двохповерхових будинків  по 2 під`їзди, 12 двохповерхових будинків по 1 під`їзду)</t>
  </si>
  <si>
    <t>88 житлових  будинків по вул.Саратовська №№ 14,16,23,30,32,33,34,35,36,37,38,39, 41,43,45, вул. Свердлова №№ 18,20,21,22,23,24,26,29,31,33,33А, 35,37, по вул. Залізнична №№ 30,34,36 вул. Першотравнева, №№ 85,91,93,101,105,109,115,117,119,123,125,127, вул. Радянська №№ 18,20,22,24,26,32,34,36,41,47,49,51,55  пер. Радянський,9, вул. Театральна №№ 5,7,9,11,15,17,19,21, вул. Перемоги №№ 10,14,37,  вул. Московська № 16, вул. Фрунзе №№ 21,22,23,24,  25,26,27,28,29,30,32,33,  34,35,37, вул. Нова №№ 3,4,5,16</t>
  </si>
  <si>
    <t>60 житлових будинків по Сонячний №№ 22,32,19,7,16,18,12,8, 28,29,17,10, Молодіжний №№ 9,15,5,34,39,8,13,20, 35,32,36,14,21,6,18,22,31,37,24,25, 3,33, вул. Гагаріна №№ 26,34,28,36,32,38,22, вул. Шевченка №№ 7,13,3,18,6,4,1,11,12,14,16, вул. Ременного № 11, 15,13,9, вул. Пешотравнева № 61,63, пер. Санаторний №№ 6а, вул. Луганського № 13</t>
  </si>
  <si>
    <t xml:space="preserve">13 житлових  двохповерхових будинків (по вул. Московська №№ 27,29,31,33,35,37, по вул. Леніна №№ 10,17,19,4, по вул. Маяковського,48,50,52,                        по вул. Спартака № 4 </t>
  </si>
  <si>
    <t>№ п.п заменяемых котельных</t>
  </si>
  <si>
    <t>Розрахункова вартість споживання 1 кв.м. з урахуванням коефіцєнтів споживання тепла на 1 кв.м. на рік за даними тепломереж: по Добропільскій тепломережі  - 0,2;  по Селидівській тепломережі -  0,15; Торез  - 0,1; Сніжне - 0,2 ; Шахтарськ -0,15;  Дзержинськ - 0,22;  Дебальцеве  - 0,22 (без урахування рентабельності)</t>
  </si>
  <si>
    <t xml:space="preserve">грн/ГКал </t>
  </si>
  <si>
    <t>грн (з ПДВ)</t>
  </si>
  <si>
    <t>Тариф на опалення 1 кв.м. площі для побутових споживачів станом на 01.11.2006</t>
  </si>
  <si>
    <t>грн./ кв.м (без ПДВ)</t>
  </si>
  <si>
    <t>грн. /кв.м (з ПДВ)</t>
  </si>
  <si>
    <t>Тариф на опалення для бюджетної сфери станом на 01.11.2006</t>
  </si>
  <si>
    <t>Тариф на опалення для побутових споживачів станом на 01.11.2006, грн/Гкал</t>
  </si>
  <si>
    <t>Існуючі фактичні витрати на виробництво тепла на 1 кв.м.  (в умовах надання неякісної послуги)</t>
  </si>
  <si>
    <t>Існуючі фактичні витрати на виробництво тепла на 1 Гкал (в умовах надання неякісної послуги за даними 2005 року)</t>
  </si>
  <si>
    <t>нічний тариф (споживачі 2 клас/1 група)  станом на початок опалювального сезону 01.10.2006  -7,47 коп/кВт.г (8,96 з ПДВ)</t>
  </si>
  <si>
    <t>тис.грн. (з урахуванням нічного тарифу 8,96 коп/кВт.г з ПДВ станом  на 01.10.06 )</t>
  </si>
  <si>
    <t xml:space="preserve">% від загальних витрат </t>
  </si>
  <si>
    <t xml:space="preserve">Загальний  економічний ефект </t>
  </si>
  <si>
    <t>6 житлових будинків по вул. Першотравнева №№ 21,21а, пер. Санаторний №№ 24а,28, вул. Мєчнікова №№ 11,13</t>
  </si>
  <si>
    <t>33-ТА,   25-ИК</t>
  </si>
  <si>
    <t>позиции для  перевода на электроотопление, с  учетом отсутствующих котельных</t>
  </si>
  <si>
    <t>2- ЭКО, 7 - ИК, 7 - ТА</t>
  </si>
  <si>
    <t>5-ИК,    2-ТА</t>
  </si>
  <si>
    <t>41- ТЭК, 10 - ЭКО, 121 - ИК, 63 - ТА</t>
  </si>
  <si>
    <t xml:space="preserve"> 3-ЭКО,32-ИК, 12-ТА</t>
  </si>
  <si>
    <t>котельня № 3а по пер. Санаторний, 28а</t>
  </si>
  <si>
    <t xml:space="preserve">Потужність, МВт </t>
  </si>
  <si>
    <t>Найменування показників</t>
  </si>
  <si>
    <t>тис.грн</t>
  </si>
  <si>
    <t>витрати на розвиток мереж (електричних і теплових)</t>
  </si>
  <si>
    <t>витрати на модернізацію і реконструкцію котелень</t>
  </si>
  <si>
    <t>Необхідний річний обсяг виробництва теплової енергії для опалення</t>
  </si>
  <si>
    <t>Еківалентний обсяг електроенергії для виробнитцва теплової енергії</t>
  </si>
  <si>
    <t>тис.кВт.годин на рік</t>
  </si>
  <si>
    <t xml:space="preserve">Річний ефект від зниження ТВЕ </t>
  </si>
  <si>
    <t xml:space="preserve">грн/Гкал </t>
  </si>
  <si>
    <t xml:space="preserve">Виведення непотрібних теплових магістралей </t>
  </si>
  <si>
    <t>років</t>
  </si>
  <si>
    <t>46 житлових будинків (11 трьохповерхових і 35 двохповерхових) по вул. Комсомольська №№ 1,2,3,5,6,7,9,10,11,13,  по вул. Леніна, 2,6,8, по вул. Маяковського №№ 19,21,23,  29,31,32,33,34,36,38,40,42, Фестивальна №№ 7,9,15,17,19,21,27,29,31, вул. Шкільна №№ 31,33,35,37,39,41,43, пер. Франка № 1,3,5,7,9</t>
  </si>
  <si>
    <t>55 житлових будинків по вул. Радянська  №№ 1,2,3,4,7,8,9,10,12,13,15,14,16,17, 18,20,21,22,23,24,25,26,27,28,29,30,31,33,35,37,39, по вул. Вознесенського №№ 13,15,19,21,23,25,29,31,24, 26,28,27, по вул. Леніна №№ 25,27,29, по вул. Горького №№ 3,4,5,6,11, по вул. Красноармійська №№ 7,10</t>
  </si>
  <si>
    <t>15 житлових будинків по вул. Харківська №№ 23,25,29,31,   35,27,33,13, 15,17,19,21, по вул. Соцпраці №№ 38,40,42</t>
  </si>
  <si>
    <t xml:space="preserve">37 житлових будинків по вул. Вознесенського №№ 12,14,16,18,20,22, по вул. Горького №№ 12,14,20,22,19, по вул. Леніна №№ 13,15,17,21,23,14,16,18,22,24,26, 28,30, по вул. Донецька №№ 13,15,17,21,23,27,25,29, по вул. Жовтнева №№ 24,30,32,23,21 </t>
  </si>
  <si>
    <t>35 житлових будинків по вул. 40 років Жовтня №№ 3,4,5,7,8,9,10,11, 12,13,14,15,16,17,19,21,23,31, по вул. Шкільна №№ 4,6,8,12,14,16,18,20, по вул. Леніна №№ 1,2,3,4,5,6,10, по вул. Красноармійська №№ 4,8</t>
  </si>
  <si>
    <t>56 житлових будинків  (20 трьох поверхових та 36 двохповерхових) по вул. Леніна №№ 1,3,5,7,9,11,13, по вул. Фрунзе №№ 4,6,8,10, по вул. Пушкіна №№ 3,4,5,6,7,9,10,12,14,15, 16,17,18,19,20,21,23,25, по вул. Спартака №№ 1,3,7,8,14,16,18,20, по вул. Перемоги №№ 9,11, по вул. Комсомольська №25, по вул. Ватутіна №№ 11,12,13,14,15,16,17,18,21,22, 24,26,28,30,32,34</t>
  </si>
  <si>
    <t xml:space="preserve">місто Білозерське </t>
  </si>
  <si>
    <t>котельня № 3</t>
  </si>
  <si>
    <t>котельня № 18</t>
  </si>
  <si>
    <t xml:space="preserve">котельня № 1 по вул. 50 років Жовтня </t>
  </si>
  <si>
    <t>дитячий садок " Росинка"(2 поверхи), школа № 15 (3 поверхи), дитячий садок " Веселка"(2 поверхи), гуртожиток (5 поверхів)</t>
  </si>
  <si>
    <t xml:space="preserve">котельня № 2 по вул. Пушкіна </t>
  </si>
  <si>
    <t xml:space="preserve">котельня № 2а по вул. Пушкіна, </t>
  </si>
  <si>
    <t>котельня № 3 по вул. Пушкіна</t>
  </si>
  <si>
    <t>школа № 13 (3 поверхи), ДК (2 поверхи), станція ЮТ (2 поверхи),  міськводоканал (1 поверх), столярна майстерня жек, АБК УТЖФ № 5 (1 поверх)</t>
  </si>
  <si>
    <t>котельня № 7 по вул. Московська</t>
  </si>
  <si>
    <t>школа № 12 (2 поверхи)</t>
  </si>
  <si>
    <t>дитячий садок "Оленка"  ( 2 поверхи), школа № 14 (2 поверхи), гуртожиток (2 поверхи), швачна майстерня (2 поверхи), будинок виконкому (2 поверхи)</t>
  </si>
  <si>
    <t xml:space="preserve">котельня центру туризму </t>
  </si>
  <si>
    <t>26 п`ятиповерхових  житлових будинків по вул. 50 років Жовтня №№ 2,4,6,10,12,14,16,16а,17,19,20,21,22,23,24,26,28, по вул. Пушкіна №№ 2,4, по вул. Будівельна №№ 3,5,7,9,11,13,15</t>
  </si>
  <si>
    <t>24 п`ятиповерхових житлових будинки (по вул. Будівельна №№ 31,33,35,37, по вул. 50 років Жовтня №№ 32,34,36,38,40,42, по вул. Пушкіна № 1, по вул. Південна №№ 1,2,3,4,5,6,7,8,9,10,11,13,15)</t>
  </si>
  <si>
    <t>Таблиця 5-  Потреба у коштах на забезпечення зовнішього електропостачання  для переведення котелень на електроопалення</t>
  </si>
  <si>
    <t>дитячий садок "Сонечко" (2 поверхи), лікарня (2 поверхи), Палац спорту (2 поверхи), школа № 18 (2 поверхи), гірничий профліцей (3 поверхи)</t>
  </si>
  <si>
    <t>29 житлових  будинків ( 21 п`ятиповерховий, 8 - трьохповерхових) по вул. Московська №№ 3,5, по вул. Будівельна №№ 4,6,10,12,14,16,18,19,20,21,23,24,26,27,29, по вул. Пушкіна №№ 6,8,8а, по вул. Ватутіна №№ 1,3,5,5а,7,8,10,12</t>
  </si>
  <si>
    <t xml:space="preserve">всього по місту Білозерське </t>
  </si>
  <si>
    <t xml:space="preserve">управління соціальної сфери </t>
  </si>
  <si>
    <t>котельня № 2 по вул. Радянська,29</t>
  </si>
  <si>
    <t>вул. Радянська , 91</t>
  </si>
  <si>
    <t>вул. Радянська , 28а</t>
  </si>
  <si>
    <t>36 житлових будинків по 3 поверхи по вул. Карла Маркса №№ 2,3,4,5,6,7,8,9, по вул. Ленінградська №№ 1,2,3,4,5,6, по вул. Пушкіна №№ 1,3,4,6,7,8,10,12,14, по вул. Маяковського №№ 1,3,4,5,6,7,8,9,10, по вул. Леніна, 5, по вул.Піонерська №№ 1,9, по вул. Радянська  № 2 ( 7 будинків по 3 під`їзди, 15 будинків по 2 під`їзди, 14 будинків по 1 під`їзду)</t>
  </si>
  <si>
    <t xml:space="preserve">житлові будинки по вул. Радянська  </t>
  </si>
  <si>
    <t>котельня № 25 по вул. Харківська, 27а</t>
  </si>
  <si>
    <t>котельня № 19</t>
  </si>
  <si>
    <t>котельня № 20</t>
  </si>
  <si>
    <t>котельня № 19 по вул. Радянська,44</t>
  </si>
  <si>
    <t>котельня № 20 по вул. Соцпраці,2</t>
  </si>
  <si>
    <t xml:space="preserve">с. Водянське </t>
  </si>
  <si>
    <t>відстнє</t>
  </si>
  <si>
    <t>котельня № 13 по вул. Леніна, 20</t>
  </si>
  <si>
    <t xml:space="preserve">Всього по місту Білицьке та с. Водянське </t>
  </si>
  <si>
    <t>місто Добропілля (за винятком малих міст та селищ)</t>
  </si>
  <si>
    <t xml:space="preserve">Всього по місту Добропілля (за винятком  малих міст та селищ) </t>
  </si>
  <si>
    <t>№ п/п</t>
  </si>
  <si>
    <t>Соц. сфера</t>
  </si>
  <si>
    <t xml:space="preserve">Таблиця  - Вихідні дані по шахтарських населених пунктах, які планується обладнати опалювальними електроустановками  </t>
  </si>
  <si>
    <t xml:space="preserve">Додаткова необхідна електрична потужність </t>
  </si>
  <si>
    <t xml:space="preserve">Таблиця : Прогнозні показники  економічної ефективності від впровадження заходів з переобладнання населених пунктів опалювальними електроустановками </t>
  </si>
  <si>
    <t>Таблиця - Зведені дані по технологічним рішенням</t>
  </si>
  <si>
    <t>Таблица - Інформація про обсяги споживання електроенергії та її витрати на транспортування в мережах по шахтарських містах</t>
  </si>
  <si>
    <t>Таблица - Розрахунок обсягу зменшення понаднормативних витрат електроенергії на її транспортування в мережах в результаті впровадження Заходів (по житловому фонду)</t>
  </si>
  <si>
    <t xml:space="preserve">Таблиця - Порівняння витрат на реконструкцію котелень і теплових мереж до і після впровадження Заходів </t>
  </si>
  <si>
    <t xml:space="preserve">Таблица - Економія паливної складової після впровадження Заходів (обрані для обстеження 96 котелень із 109) </t>
  </si>
  <si>
    <t xml:space="preserve">Таблиця  -  Загальні витрати на перобладнання шахтарських населених пунктів опалювальними електроустановками </t>
  </si>
  <si>
    <t xml:space="preserve">Таблиця - Розрахунок деяких позицій економічної ефективності </t>
  </si>
  <si>
    <t xml:space="preserve">Таблиця -  Приоритеты реализации программы 2006-2010гг. от выбранных критериев </t>
  </si>
  <si>
    <t xml:space="preserve">Таблица  -  Створення нових робочих місць в результаті впровадження Заходів </t>
  </si>
  <si>
    <t>Город</t>
  </si>
  <si>
    <t>Котельных</t>
  </si>
  <si>
    <t>м2</t>
  </si>
  <si>
    <t>тыс. Гкал/год</t>
  </si>
  <si>
    <t>Гкал/час</t>
  </si>
  <si>
    <t>реж. РВ, МВт</t>
  </si>
  <si>
    <t>реж. АК, МВт</t>
  </si>
  <si>
    <t>СНиП-АК, МВт</t>
  </si>
  <si>
    <t>Торез</t>
  </si>
  <si>
    <t>Енакиево</t>
  </si>
  <si>
    <t>Снежное</t>
  </si>
  <si>
    <t>Шахтерск</t>
  </si>
  <si>
    <t>Новогродовка</t>
  </si>
  <si>
    <t>Дзержинск</t>
  </si>
  <si>
    <t>Дебальцево</t>
  </si>
  <si>
    <t>Зугрес</t>
  </si>
  <si>
    <t>Украинск</t>
  </si>
  <si>
    <t>п. Кураховка</t>
  </si>
  <si>
    <t>п. Острый</t>
  </si>
  <si>
    <t>Горняк</t>
  </si>
  <si>
    <t>Родинское</t>
  </si>
  <si>
    <t>Доброполье</t>
  </si>
  <si>
    <t>Новодонецкое</t>
  </si>
  <si>
    <t>Белозерское</t>
  </si>
  <si>
    <t>Белицкое</t>
  </si>
  <si>
    <t>п. Водинское</t>
  </si>
  <si>
    <t>Примечания:</t>
  </si>
  <si>
    <t>1) гр.1…гр.4 - исходные данные</t>
  </si>
  <si>
    <t>2) гр.5 расчет по СНиПу</t>
  </si>
  <si>
    <t>3) гр.6 равна гр.5/0,86 Гкал/час</t>
  </si>
  <si>
    <t>4) гр.7 равна гр.6*24/7 - режим аккумуляции тепла</t>
  </si>
  <si>
    <t>5) гр.8 равна гр.3*100 вт/м2 проверка по СНиПу</t>
  </si>
  <si>
    <t>г. Селидово</t>
  </si>
  <si>
    <t xml:space="preserve"> Таблица - Оценка потребности КТП-6,0/0,4 (КТП-10,0/0.4) для реализации Программы "Тепло"</t>
  </si>
  <si>
    <t>Всего</t>
  </si>
  <si>
    <t xml:space="preserve">Перелік котелень </t>
  </si>
  <si>
    <t xml:space="preserve">Місцезнаходження об`єкта </t>
  </si>
  <si>
    <t>№ котельні</t>
  </si>
  <si>
    <t xml:space="preserve">Вид палива </t>
  </si>
  <si>
    <t xml:space="preserve">Характеристика опалювальних обєктів </t>
  </si>
  <si>
    <t>Житловий фонд</t>
  </si>
  <si>
    <t>кількість абонентів</t>
  </si>
  <si>
    <t>опалювальна площа, кв.м.</t>
  </si>
  <si>
    <t>тис. грн.</t>
  </si>
  <si>
    <t xml:space="preserve">Організація - виконавець робіт </t>
  </si>
  <si>
    <t xml:space="preserve">м. ТОРЕЗ </t>
  </si>
  <si>
    <t xml:space="preserve">м-н 30 років Перемоги </t>
  </si>
  <si>
    <t xml:space="preserve">відсутнє </t>
  </si>
  <si>
    <t xml:space="preserve">вугілля </t>
  </si>
  <si>
    <t>одиниць обладнання</t>
  </si>
  <si>
    <t xml:space="preserve">опалювальна площа, кв.м </t>
  </si>
  <si>
    <t>Загальна опалювальна площа, кв.м</t>
  </si>
  <si>
    <t>довідково:</t>
  </si>
  <si>
    <t>прийнята питома опалювальна площа кв.м/модуль ІК</t>
  </si>
  <si>
    <t>прийнята питома опалювальна площа кв.м/ТА</t>
  </si>
  <si>
    <t xml:space="preserve">можлива оптимізація кількості елеткропунктів або обладнання в процесі проекних робіт </t>
  </si>
  <si>
    <t xml:space="preserve">Постачання електроенергії </t>
  </si>
  <si>
    <t>тис. кВт.г</t>
  </si>
  <si>
    <t xml:space="preserve">Корисний відпуск електроенергії за 2005 рік </t>
  </si>
  <si>
    <t xml:space="preserve">Фактичні витрати електроенергії на її транспортування в мережах за 2005 рік </t>
  </si>
  <si>
    <t xml:space="preserve">Понаднормативні  витрати електроенергії на її транспортування в мережах за 2005 рік </t>
  </si>
  <si>
    <t xml:space="preserve">Разом </t>
  </si>
  <si>
    <t>Несанкціонійний відбір електроенергії, що використовувся побутовими споживачами для опалення приміщень протягом опалювального сезону, тис. кВт.г</t>
  </si>
  <si>
    <t>Довідково:</t>
  </si>
  <si>
    <t>прийнятий тариф закупвлі електроенергії в ДП "Енергоринок" без урахування дотацій і компенсацій на опалювальний сезон 2006-2007 рр. з ПДВ, грн/МВт.г</t>
  </si>
  <si>
    <t>тис.кВт.г</t>
  </si>
  <si>
    <t xml:space="preserve">тис. кВт.г </t>
  </si>
  <si>
    <t xml:space="preserve"> тариф закупвлі електроенергії в ДП "Енергоринок" без урахування дотацій і компенсацій 2005 року з ПДВ, грн/МВт.г</t>
  </si>
  <si>
    <t xml:space="preserve">загальна </t>
  </si>
  <si>
    <t>житловий фонд</t>
  </si>
  <si>
    <t xml:space="preserve">соціальна сфера </t>
  </si>
  <si>
    <t>в результаті впровадження Заходів з електроопалення</t>
  </si>
  <si>
    <t>Витрати на реконструкцію котелень, тис.грн.</t>
  </si>
  <si>
    <t>потужність Гкал/   годину</t>
  </si>
  <si>
    <t>потужність Гкал/   годину кожного об`єкту</t>
  </si>
  <si>
    <t>необхідні для існуючих вугільних котелень (без впровадження Заходів)</t>
  </si>
  <si>
    <t>Варітсть проектних робіт по Заходах, тис.грн.</t>
  </si>
  <si>
    <t>Довжина теплових магістралей, км</t>
  </si>
  <si>
    <t>Технічний стан теплових мереж             (середній % зносу)</t>
  </si>
  <si>
    <t>необхідні витрати на реконструкцію (без впровадження Заходів), тис.грн.</t>
  </si>
  <si>
    <t>ІК</t>
  </si>
  <si>
    <t xml:space="preserve">Стан теплових мереж в результаті впровадження Заходів </t>
  </si>
  <si>
    <t>Довжина теплових мереж,що залишаються в експлуатації,  км</t>
  </si>
  <si>
    <t xml:space="preserve">Технолгія електро-опалення </t>
  </si>
  <si>
    <t>Вартість               1 кв.м. в процесі реконструкції котелень, тис.грн.</t>
  </si>
  <si>
    <t xml:space="preserve">Існуючий стан теплових мереж </t>
  </si>
  <si>
    <t>Всього  по с. Курахівка</t>
  </si>
  <si>
    <t>Кількість котелень, обраних для обстеження</t>
  </si>
  <si>
    <t>у т.ч. середні на одну котельню</t>
  </si>
  <si>
    <t>Фактичні річні витрати на паливну складову (вугілля), тис.грн./рік</t>
  </si>
  <si>
    <t xml:space="preserve">Кількість теплопунктів електроопалення відповідно до Заходів </t>
  </si>
  <si>
    <t>м. Торез</t>
  </si>
  <si>
    <t>м. Єнакієве</t>
  </si>
  <si>
    <t>м. Сніжне</t>
  </si>
  <si>
    <t>м. Новогродівка</t>
  </si>
  <si>
    <t>м. Дзержинськ</t>
  </si>
  <si>
    <t>с. Водянське</t>
  </si>
  <si>
    <t>Прогнозна річна вартість електроенергії для використання в теплопунктах після впровадження Заходів , тис.грн./рік</t>
  </si>
  <si>
    <t>Необхідні річні витрати на утримання електротеплопунктів (без вартості електроенергії) після впровадження Заходів,                        тис.грн./рік</t>
  </si>
  <si>
    <t xml:space="preserve">Фактичні річні вкладання коштів балансоутримувачем на утримання вугільних котелень  (за винятком паливної складової) за статистикою 2005-2006 рр., тис.грн./рік </t>
  </si>
  <si>
    <t>Економія паливної складової, тис.грн. / рік</t>
  </si>
  <si>
    <t xml:space="preserve">Необхідні річні витрати вугілля на утримання вугільних котелень за умови забезпечення якісного теплового режиму, втрат в існуючих теплових мережах та підвищення цін на вугілля, тис.грн. </t>
  </si>
  <si>
    <t>всього на рік</t>
  </si>
  <si>
    <t xml:space="preserve">всього на рік </t>
  </si>
  <si>
    <t>Понадрозрахункові ТВЕ за 2005 рік  (взагалі по населених пунктах)</t>
  </si>
  <si>
    <t>Разом</t>
  </si>
  <si>
    <t>29 електропунктів ГДН</t>
  </si>
  <si>
    <t>34 електропункти ГДН +74 ТА</t>
  </si>
  <si>
    <t>8 електропунктів ГДН</t>
  </si>
  <si>
    <t>16 електропунктів ГДН +394 ТА</t>
  </si>
  <si>
    <t xml:space="preserve">37 модулів ІК +1592 ТА </t>
  </si>
  <si>
    <t xml:space="preserve">1 модуль ІК +103 ТА </t>
  </si>
  <si>
    <t>6 теплопунктів ЕКО +62 модулів ІК</t>
  </si>
  <si>
    <t>6 електропунктів ГДН +78 модулів ІК</t>
  </si>
  <si>
    <t xml:space="preserve">15 модулів ІК </t>
  </si>
  <si>
    <t xml:space="preserve">10 модулів ІК </t>
  </si>
  <si>
    <t xml:space="preserve">1 теплопункт ЕКО + 35 модулів ІК </t>
  </si>
  <si>
    <t>1 модуль ІК +            254 ТА</t>
  </si>
  <si>
    <t xml:space="preserve">1 теплопункт ЕКО +31 модуль ІК +22 ТА </t>
  </si>
  <si>
    <t>115 модулів ІК +10931 ТА</t>
  </si>
  <si>
    <t xml:space="preserve">90 модулів ІК +          349 ТА </t>
  </si>
  <si>
    <t xml:space="preserve">10 теплпунктів ЕКО + 508 модулів ІК +  20475 ТА +                         93 теплопункти ГДН </t>
  </si>
  <si>
    <t xml:space="preserve">7 модулів ІК </t>
  </si>
  <si>
    <t xml:space="preserve">6 модулів ІК </t>
  </si>
  <si>
    <t>2 теплопункти ЕКО +15 модулів ІК + 5854 ТА</t>
  </si>
  <si>
    <t>5 модулів ІК + 903 ТА</t>
  </si>
  <si>
    <t xml:space="preserve">Кількість електропунктів </t>
  </si>
  <si>
    <t>Опалювальна площа, кв. м</t>
  </si>
  <si>
    <t xml:space="preserve">Вартість проектних робіт (5 відс. від вартості реконструкції), тис.грн. </t>
  </si>
  <si>
    <t>Питомі витрати з реконструкції та модернізації на 1 Гкал, тис.грн/Гкал</t>
  </si>
  <si>
    <t>Витрати на зовнішнє електропостачання , тис.грн.</t>
  </si>
  <si>
    <t>Загальні витрати на переобладнання опалювальними електроустановками, тис.грн. (проеткні+ реконструкція/модернизація+зовнішнє електропостачання+реконструкція теплових мереж)</t>
  </si>
  <si>
    <t>у т.ч. витрати проектні+ витрати на реконструкцію/модернизацію, тис.грн.</t>
  </si>
  <si>
    <t xml:space="preserve">Необхідний річний відпуск теплоенергії після переобладнання опалювальними електроустановками </t>
  </si>
  <si>
    <t xml:space="preserve">Витрати на утримання теплопунктів  </t>
  </si>
  <si>
    <t>Амортизаційні відрахування або орендна плата, 10% від вартості рекоснтрукції (модернізації)</t>
  </si>
  <si>
    <t xml:space="preserve">Ітого  витрати на теплопостачання (виробництво е/е + утримання теплопунктів) + амортизація </t>
  </si>
  <si>
    <t>Витрати на теплопостачання (на виробництво електроенергії + витрати на утримання теплопунктів)</t>
  </si>
  <si>
    <t xml:space="preserve">Балансоутримувач </t>
  </si>
  <si>
    <t xml:space="preserve">вул. Кірова </t>
  </si>
  <si>
    <t xml:space="preserve">пер. Кіровоградський </t>
  </si>
  <si>
    <t>вул. Колумба, 7</t>
  </si>
  <si>
    <t xml:space="preserve">невідомо </t>
  </si>
  <si>
    <t>вул. Курська, 36</t>
  </si>
  <si>
    <t>Торезькій міський відділ освіти</t>
  </si>
  <si>
    <t>вул. Гончарова, 8</t>
  </si>
  <si>
    <t xml:space="preserve">Всього по місту Торезу </t>
  </si>
  <si>
    <t>Потуж-ність Гкал/   годину</t>
  </si>
  <si>
    <t>вул. Чекістів, 24</t>
  </si>
  <si>
    <t>м. ЄНАКІЄВЕ</t>
  </si>
  <si>
    <t xml:space="preserve">Дитячий сад - ясла № 58,  вул. Жовтнева </t>
  </si>
  <si>
    <t xml:space="preserve">1 чотрирьохет. буд. по 3 під.             2 трьохет. буд. по 3 під.   (будинки по вул. Т. Бірлевої №№ 69, 71 та по пер. Кіровогордаський № 1)                   </t>
  </si>
  <si>
    <t xml:space="preserve">КП "Єнакіеветепломережа" </t>
  </si>
  <si>
    <t>вул. Дарвіна, 7</t>
  </si>
  <si>
    <t>вугілля</t>
  </si>
  <si>
    <t>ЖРУ № 10</t>
  </si>
  <si>
    <t>Всього по місту Енакієве</t>
  </si>
  <si>
    <t xml:space="preserve">м. СНІЖНЕ </t>
  </si>
  <si>
    <t>вул. Мурманська, 51</t>
  </si>
  <si>
    <t xml:space="preserve">Сніжнянський міський відділ освіти </t>
  </si>
  <si>
    <t>вул. Квітки, 27</t>
  </si>
  <si>
    <t>вул. Адорадського,1</t>
  </si>
  <si>
    <t>вул. Брюсова, 8</t>
  </si>
  <si>
    <t xml:space="preserve">будинок не опалюється </t>
  </si>
  <si>
    <t>вул. Будивельників, 5</t>
  </si>
  <si>
    <t>КП "Служба єдиного замовника"</t>
  </si>
  <si>
    <t xml:space="preserve">Всього по місту Сніжне </t>
  </si>
  <si>
    <t>вул. Жовтнева (с. Булавінка)</t>
  </si>
  <si>
    <t>вул. Комсомольська (с. Ольховатська)</t>
  </si>
  <si>
    <t>місто ШАХТАРСЬК</t>
  </si>
  <si>
    <t xml:space="preserve">індивідуальне пічне опалення </t>
  </si>
  <si>
    <t xml:space="preserve">с. Контарне </t>
  </si>
  <si>
    <t xml:space="preserve">УЖКГ </t>
  </si>
  <si>
    <t xml:space="preserve">с. Гірниче </t>
  </si>
  <si>
    <t xml:space="preserve">с. Новобудова </t>
  </si>
  <si>
    <t>вул. Шкільна, 8</t>
  </si>
  <si>
    <t xml:space="preserve">Шахтарський міський  відділ освіти </t>
  </si>
  <si>
    <t xml:space="preserve">вул. Львівська, 8 </t>
  </si>
  <si>
    <t>вул. 40 років Жовтня</t>
  </si>
  <si>
    <t>вул. Першотравнева, 1</t>
  </si>
  <si>
    <t>пер. Шкільний,1</t>
  </si>
  <si>
    <t>вул. Косіора, 10 а</t>
  </si>
  <si>
    <t>вул. Шкільна, 5</t>
  </si>
  <si>
    <t>вул. Руднична, 1а</t>
  </si>
  <si>
    <t xml:space="preserve">вул. Голосного,21 </t>
  </si>
  <si>
    <t>вул. Шкільна,3</t>
  </si>
  <si>
    <t>вул. Польова,22</t>
  </si>
  <si>
    <t>вул. Вентиляційна,1</t>
  </si>
  <si>
    <t>вул. Ленінградська, 1</t>
  </si>
  <si>
    <t xml:space="preserve">с. Стожковське, вул. 40 років Жовтня </t>
  </si>
  <si>
    <t>вул. Голосного,1</t>
  </si>
  <si>
    <t xml:space="preserve">Центральна міська лікарня </t>
  </si>
  <si>
    <t>с. Контарне, вул. Пушкіна, 1</t>
  </si>
  <si>
    <t xml:space="preserve">Всього по місту Шахтарську </t>
  </si>
  <si>
    <t xml:space="preserve">місто НОВОГРОДІВКА </t>
  </si>
  <si>
    <t xml:space="preserve">ВУ "Теплофікація" ДП "Селидіввугілля" </t>
  </si>
  <si>
    <t xml:space="preserve">Управління Пенсійного фонду </t>
  </si>
  <si>
    <t>дитячий садок "Сніжинка"</t>
  </si>
  <si>
    <t>школа № 7</t>
  </si>
  <si>
    <t xml:space="preserve">Управління праці та соціального захисту населення  </t>
  </si>
  <si>
    <t xml:space="preserve">Вузел зв`язку </t>
  </si>
  <si>
    <t xml:space="preserve">Музична школа </t>
  </si>
  <si>
    <t xml:space="preserve">Міліція </t>
  </si>
  <si>
    <t>Дитячий садок "Золотий ключик"</t>
  </si>
  <si>
    <t xml:space="preserve">Школа № 10 </t>
  </si>
  <si>
    <t xml:space="preserve">ДК ім. 40 років Жовтня </t>
  </si>
  <si>
    <t xml:space="preserve">Міська рада </t>
  </si>
  <si>
    <t xml:space="preserve">Міськлікарня </t>
  </si>
  <si>
    <t xml:space="preserve">Всього по місту Новогродівка </t>
  </si>
  <si>
    <t xml:space="preserve">місто ДЗЕРЖИНСЬК </t>
  </si>
  <si>
    <t xml:space="preserve">селище Новгородське, квартал Керамік </t>
  </si>
  <si>
    <t>котельня "Керамік"</t>
  </si>
  <si>
    <t xml:space="preserve">житлові будинки кварталу Керамік №№ 23,24,25,26 (4 двохетажні будинки по 2 під`їзди) </t>
  </si>
  <si>
    <t xml:space="preserve">Дзержинськтепломережа ОКП "Донецьктеплокомуненерго" </t>
  </si>
  <si>
    <t xml:space="preserve">селище Щербіновка, вул. Шевченко, 32 </t>
  </si>
  <si>
    <t>котельня</t>
  </si>
  <si>
    <t xml:space="preserve">котельня </t>
  </si>
  <si>
    <t xml:space="preserve">Дзержинський міський відділ освіти і науки </t>
  </si>
  <si>
    <t xml:space="preserve">Всього по місту Дзержинську </t>
  </si>
  <si>
    <t xml:space="preserve">місто ДЕБАЛЬЦЕВЕ </t>
  </si>
  <si>
    <t xml:space="preserve">котельня № 4 </t>
  </si>
  <si>
    <t xml:space="preserve">місто Новогродівка </t>
  </si>
  <si>
    <t>"Дебальцевотепломережа"</t>
  </si>
  <si>
    <t>котельня № 7</t>
  </si>
  <si>
    <t xml:space="preserve">м-н Фестивальний </t>
  </si>
  <si>
    <t xml:space="preserve">котельня № 1 </t>
  </si>
  <si>
    <t xml:space="preserve">КП "Піроліз" </t>
  </si>
  <si>
    <t xml:space="preserve">котельня № 2 </t>
  </si>
  <si>
    <t xml:space="preserve">м-н Черемушки </t>
  </si>
  <si>
    <t xml:space="preserve">вул. Курчатова,10 </t>
  </si>
  <si>
    <t xml:space="preserve">вул. Леніна, 10 </t>
  </si>
  <si>
    <t xml:space="preserve">школа № 2 </t>
  </si>
  <si>
    <t>школа № 3</t>
  </si>
  <si>
    <t xml:space="preserve">Міський відділ науки та освіти </t>
  </si>
  <si>
    <t xml:space="preserve">школа № 7 </t>
  </si>
  <si>
    <t xml:space="preserve">дитячий садок № 5 </t>
  </si>
  <si>
    <t>дитячий садок № 6</t>
  </si>
  <si>
    <t xml:space="preserve">Відділ охорони здоров`я </t>
  </si>
  <si>
    <t xml:space="preserve">сел. Жовтневе </t>
  </si>
  <si>
    <t xml:space="preserve">Залізнича дільниця </t>
  </si>
  <si>
    <t xml:space="preserve">Центральна </t>
  </si>
  <si>
    <t xml:space="preserve">котельня № 3 </t>
  </si>
  <si>
    <t xml:space="preserve">Залізнича машстанція </t>
  </si>
  <si>
    <t xml:space="preserve">Стара </t>
  </si>
  <si>
    <t>котельня № 140</t>
  </si>
  <si>
    <t>Будівельно-монтажне управління -5</t>
  </si>
  <si>
    <t xml:space="preserve">вул. Космонавтів </t>
  </si>
  <si>
    <t xml:space="preserve">м-н 50 років Перемоги </t>
  </si>
  <si>
    <t>котельня № 201</t>
  </si>
  <si>
    <t>котельня № 200</t>
  </si>
  <si>
    <t xml:space="preserve">Новий бригадний будинок </t>
  </si>
  <si>
    <t xml:space="preserve">Дистанція сортувальна </t>
  </si>
  <si>
    <t xml:space="preserve">Дистанція Сортувальна Центральна </t>
  </si>
  <si>
    <t xml:space="preserve">Залізнича лікарня </t>
  </si>
  <si>
    <t xml:space="preserve">Палац спорту </t>
  </si>
  <si>
    <t xml:space="preserve">Вул. Леніна </t>
  </si>
  <si>
    <t xml:space="preserve">м-н Заводський </t>
  </si>
  <si>
    <t xml:space="preserve">котельня № 6 </t>
  </si>
  <si>
    <t xml:space="preserve">Дебальцевотепломережа </t>
  </si>
  <si>
    <t xml:space="preserve">м-н "Східний" </t>
  </si>
  <si>
    <t xml:space="preserve">м-н "Центральний" </t>
  </si>
  <si>
    <t>котельня № 1</t>
  </si>
  <si>
    <t xml:space="preserve">Всього по місту Дебальцеве </t>
  </si>
  <si>
    <t xml:space="preserve">місто ЗУГРЕС </t>
  </si>
  <si>
    <t xml:space="preserve">ДП "Зуївська ЕТЕЦ" </t>
  </si>
  <si>
    <t xml:space="preserve">Стара частина міста </t>
  </si>
  <si>
    <t xml:space="preserve">ДП "Зуївська експериментальна теплоелектроцентраль" знаходиться в управлінні Мінпаливенерго України </t>
  </si>
  <si>
    <t xml:space="preserve">музична школа </t>
  </si>
  <si>
    <t xml:space="preserve">школа - інтернат </t>
  </si>
  <si>
    <t>Зуївський енергетичний технікум</t>
  </si>
  <si>
    <t>Профліцей (ПТУ № 48)</t>
  </si>
  <si>
    <t>Плавальний басейн</t>
  </si>
  <si>
    <t>стадіон (адмінкорпус)</t>
  </si>
  <si>
    <t xml:space="preserve">Всього по місту Зугресу </t>
  </si>
  <si>
    <t>місто СЕЛИДОВЕ</t>
  </si>
  <si>
    <t xml:space="preserve">котельня № 8 </t>
  </si>
  <si>
    <t xml:space="preserve">Селидівська міська рада </t>
  </si>
  <si>
    <t>Дитячий садок "Космос"</t>
  </si>
  <si>
    <t xml:space="preserve">лікарня по вулиці Чапаєва </t>
  </si>
  <si>
    <t xml:space="preserve">музична школа по вулиці Ватутіна </t>
  </si>
  <si>
    <t xml:space="preserve">будинок творчості по вулиці Пушкіна </t>
  </si>
  <si>
    <t xml:space="preserve">кінотеатр по вулиці Першотравнева </t>
  </si>
  <si>
    <t xml:space="preserve">Всього по місту Українську </t>
  </si>
  <si>
    <t>котельня № 31а</t>
  </si>
  <si>
    <t>котельня № 24</t>
  </si>
  <si>
    <t>місто Українськ:</t>
  </si>
  <si>
    <t xml:space="preserve">с. Курахівка </t>
  </si>
  <si>
    <t>ВГСО</t>
  </si>
  <si>
    <t xml:space="preserve">с. Гостре </t>
  </si>
  <si>
    <t xml:space="preserve">с. Гостре  </t>
  </si>
  <si>
    <t xml:space="preserve">Селидівський міський відділ освіти </t>
  </si>
  <si>
    <t xml:space="preserve">Курахівська селищна рада </t>
  </si>
  <si>
    <t xml:space="preserve">Гірняцька міська лікарня </t>
  </si>
  <si>
    <t xml:space="preserve">місто Гірник </t>
  </si>
  <si>
    <t>котельня № 23</t>
  </si>
  <si>
    <t xml:space="preserve">с. Цукурине </t>
  </si>
  <si>
    <t xml:space="preserve">котельня шахти Краснолиманська </t>
  </si>
  <si>
    <t xml:space="preserve">Всього по місту Родинське </t>
  </si>
  <si>
    <t>вулиця Перемоги, 2</t>
  </si>
  <si>
    <t>вулиця Перемоги, 4</t>
  </si>
  <si>
    <t>лікарня по вулиці Мира, 19 (1 етаж)</t>
  </si>
  <si>
    <t>клуб по вул. Мересьєва (1 етаж)</t>
  </si>
  <si>
    <t>житловий будинок по вул. Люксембург,31</t>
  </si>
  <si>
    <t>дитячий садок по вул. Докучаєва, 7а (1 етаж)</t>
  </si>
  <si>
    <t>відсутня</t>
  </si>
  <si>
    <t xml:space="preserve">Всього по с. Курахівка  та Гостре </t>
  </si>
  <si>
    <t xml:space="preserve">Всього по с. Цукурине </t>
  </si>
  <si>
    <t>котельня № 23 а</t>
  </si>
  <si>
    <t>котельня № 28</t>
  </si>
  <si>
    <t xml:space="preserve">котельня № 70 </t>
  </si>
  <si>
    <t xml:space="preserve">котельня КЕ </t>
  </si>
  <si>
    <t xml:space="preserve">відстуня </t>
  </si>
  <si>
    <t>котельня ДКВР</t>
  </si>
  <si>
    <t xml:space="preserve">відсутня </t>
  </si>
  <si>
    <t xml:space="preserve">котельне паливо </t>
  </si>
  <si>
    <t>вугілля котельне паливо</t>
  </si>
  <si>
    <t xml:space="preserve">котельня № 28 </t>
  </si>
  <si>
    <t xml:space="preserve">Всього по місту Гірник </t>
  </si>
  <si>
    <t>Всього по місту Селидове</t>
  </si>
  <si>
    <t>М. ДОБРОПІЛЛЯ</t>
  </si>
  <si>
    <t xml:space="preserve">м. Новодонецьке </t>
  </si>
  <si>
    <t xml:space="preserve">Добропільська міська рада </t>
  </si>
  <si>
    <t>ЖЕК (1 етаж)</t>
  </si>
  <si>
    <t>водоканал (1 етаж)</t>
  </si>
  <si>
    <t>котельня № 5</t>
  </si>
  <si>
    <t>відсутнє</t>
  </si>
  <si>
    <t xml:space="preserve">Всього по місту Новодонецьке </t>
  </si>
  <si>
    <t xml:space="preserve">школа № 1 по пер. Мєчнікова,12 (2 поверхи) </t>
  </si>
  <si>
    <t>24 житлові будинки: по вул. Комсомольська №№ 23,25,27,24,26,28,30, по вул. Карла Маркса №№ 6,8,12,14, по вул. Енгельса №№ 3,5,7,13, 15, по вул. Пірогова №№ 24,26, 19,21,23,25,27 (1 п`ятиповерховий  будинок - 3 під`їзди,  3 чотрьохетажні будинки по 3 під`їзди, 1 чотирьохповерховий  будинок - 2 під`їзди,  11 чотирьохповерхових будинків по 4 під`їзди, 5 п`ятиповерхових будинків по 4 під`їзди, три трьохповерхових будинки по 2 під`їзди)</t>
  </si>
  <si>
    <t>22 житлових будинки по 4 поверхи по вул. Карла Маркса №№ 11,12,13,14,15,16, 17, 19, 20, по вул. Маяковського №№ 12,2,6а, по вул. Пушкіна №№ 11,9,5,2, по вул. Леніна №№ 2,3,4,6,8,1 (8 будинків по 4 під`їзди, 7 будинків по 2 під`їзди,4 будинки по 3 під`їзди, 1 будинок -6 під`їздів, 2 будинки по 1 під`їзду)</t>
  </si>
  <si>
    <t>школа № 22 по вул. Мира, 17 (3 поверхи)</t>
  </si>
  <si>
    <t>школа № 23 по вул. Калініна, 9 (2 поверхи)</t>
  </si>
  <si>
    <t>дитячий садок "Вербичка" по вул. Енгельса,10 (2 поверхи)</t>
  </si>
  <si>
    <t>дитячий садок "Ясна галявина" по вул. Комсомольська, 28 (2 поверхи)</t>
  </si>
  <si>
    <t>будинок Курахівської селищної ради по вул. Комсомольська, 47 (2 поверхи)</t>
  </si>
  <si>
    <t>житловий будинок по вул. Мересьєва,10 (2 поверхи)</t>
  </si>
  <si>
    <t>житловий будинок по вулиці Гагаріна, 7а (2 поверхи, 2 підїзди)</t>
  </si>
  <si>
    <t>житловий будинок по вулиці Гагаріна, 9(2 поверхи, 3 підїзди)</t>
  </si>
  <si>
    <t>житловий будинок по вул. Гагаріна, 11 (2 поверхи, 3 підїзди)</t>
  </si>
  <si>
    <t>житловий будинок по вул. Леніна,1 (2 поверхи, 3 підїзди)</t>
  </si>
  <si>
    <t>житловий будинок по вул. Докучаєва, 8 (2 поверхи, 2 підїзди)</t>
  </si>
  <si>
    <t>будинок селищної ради по вул. Чапаєва, 10а (2 поверхи)</t>
  </si>
  <si>
    <t>школа № 26 по вул. Ватутіна (2 поверхи)</t>
  </si>
  <si>
    <t>клуб по Леніна (2 поверхи)</t>
  </si>
  <si>
    <t>дитячий садок "Тополька" (2 поверхи)</t>
  </si>
  <si>
    <t>Теріторіальний центр по уходу за людьми похилого віку вулиці Лермонтова,10 ( 2 поверхи)</t>
  </si>
  <si>
    <t>дитячий садок "Орля" (2 поверхи)</t>
  </si>
  <si>
    <t>школа № 8 (3 поверхи)</t>
  </si>
  <si>
    <t>Школа № 16 (3 поверхи)</t>
  </si>
  <si>
    <t>Лікарня  (2 поверхи)</t>
  </si>
  <si>
    <t>Гуртожиток  шахти "Піонер" (2 поверхи)</t>
  </si>
  <si>
    <t>гуртожиток шахти "Новодонецька" (2 поверхи)</t>
  </si>
  <si>
    <t xml:space="preserve">Будинок селищної ради (3 поверхи) </t>
  </si>
  <si>
    <t>дитячий садок "Малюк" (2 поверхи)</t>
  </si>
  <si>
    <t>школа № 17 (3 поверхи)</t>
  </si>
  <si>
    <t>дитячий садок "Ромашка" (2 поверхи)</t>
  </si>
  <si>
    <t>гімназія по вул. Петровського,19 (2 поверхи)</t>
  </si>
  <si>
    <t>школа № 3 (3 поверхи)</t>
  </si>
  <si>
    <t xml:space="preserve"> відсутнє</t>
  </si>
  <si>
    <t>школа № 6 (2 поверхи)</t>
  </si>
  <si>
    <t>дитячий садок "Тополька" по пер. Мєчнікова,14 (2 поверхи)</t>
  </si>
  <si>
    <t>дитячий садок "Джерельце" по вул. Комсомольська,20 (2 поверхи)</t>
  </si>
  <si>
    <t xml:space="preserve">школа - інтернат по вул. Комсомольська,26 (3 поверхи) </t>
  </si>
  <si>
    <t xml:space="preserve">Управління соціальної сфери </t>
  </si>
  <si>
    <t>відстунє</t>
  </si>
  <si>
    <t>котельня № 2</t>
  </si>
  <si>
    <t>Загальні витрати на переобладнання опалювальними елеткроустановками, тис.грн. (проектные+ реконструкция/модернизация+внешнеее э/э+реконструкция тепловый сетей)</t>
  </si>
  <si>
    <t>тыс.грн</t>
  </si>
  <si>
    <t xml:space="preserve">затраты на содержание теплопуктов, % </t>
  </si>
  <si>
    <t>амотизационные отисления или аренда, %</t>
  </si>
  <si>
    <t xml:space="preserve">3, 345 </t>
  </si>
  <si>
    <t>грн.(с  ПДВ)</t>
  </si>
  <si>
    <t>Загальні витрати на переобладнання опалювальними елеткроустановками, тис.грн. (проектные+ реконструкция/модернизация)</t>
  </si>
  <si>
    <t>грн./Гкал (без ПДВ)</t>
  </si>
  <si>
    <t>грн./гКал  (з ПДВ)</t>
  </si>
  <si>
    <t>грн./Гкал (з ПДВ)</t>
  </si>
  <si>
    <t xml:space="preserve">Всього по   с. Водянське </t>
  </si>
  <si>
    <t>42 житлові будинки по вул. Першотравнева, №№ 67,71, 79,пер. Радянський №№ 3,6, вул. Театральна №№ 8,10,12,14,16, по вул. Комсомольська №№ 15,17,21,23,25,27,29,31,37,39 по вул. Перемоги №№ 4,6,8,20,22,24,33,35, по вул. Луганського №№ 21,23,25,27,26,29,31,24,19,22,20,15,17</t>
  </si>
  <si>
    <t xml:space="preserve"> вугілля </t>
  </si>
  <si>
    <t xml:space="preserve">Комунально-лікувальний профілактичний заклад "Добропільська районна лікарня" </t>
  </si>
  <si>
    <t xml:space="preserve">Лікарське містечко Центральної районної лікарні по вул. Гагаріна № 3 </t>
  </si>
  <si>
    <t xml:space="preserve">місто Білицьке </t>
  </si>
  <si>
    <t>музична школа по вул. Горького 28  (1 поверх)</t>
  </si>
  <si>
    <t>школа № 9 по вул. Соцпраці 14 (1 поверх)</t>
  </si>
  <si>
    <t>будинок АТС по вул. Горького,30 (2 поверхи)</t>
  </si>
  <si>
    <t>дитячй садок "Малюк"  по вул. Соцпраці,15 (2 поверхи)</t>
  </si>
  <si>
    <t>ДП "Надія" по вул. Московська,3 та по вул. Будівельна,5  (1 поверх)</t>
  </si>
  <si>
    <t xml:space="preserve">школа № 10 по вул. Радянська,43 </t>
  </si>
  <si>
    <t>будинок селищної ради по вул. Базарна, 16 (1 поверх)</t>
  </si>
  <si>
    <t>школа № 11 по вул. 40 років Жовтня,25</t>
  </si>
  <si>
    <t>бібліотека по вул. Леніна,8</t>
  </si>
  <si>
    <t>клуб по вул. Шкільна,24</t>
  </si>
  <si>
    <t>дитячй садок "Берізка"  по вул. Донецька,7</t>
  </si>
  <si>
    <t>міськводоканал по вул. Радянська,5</t>
  </si>
  <si>
    <t>Будинок творчості по вулиці Вознесенського,17 (2 поверхи)</t>
  </si>
  <si>
    <t>дитяча лікарня по вул. Радянська,19 (2 поверхи)</t>
  </si>
  <si>
    <t>котельня № 17</t>
  </si>
  <si>
    <t xml:space="preserve">амбулаторія </t>
  </si>
  <si>
    <t>гуртожиток</t>
  </si>
  <si>
    <t xml:space="preserve">їдальня </t>
  </si>
  <si>
    <t xml:space="preserve">7 житлових будинків по 9 поверхів по вул. Корнієнка №№ 6,7,8, по вул. Станційна №№ 2,4, по вул. Леніна №№ 7,9 (2 будинки по 2 під`їзди, 2 будинки по 7 під`їздів, 1 будинок -6 під`їздів, 1 будинок -  3 під`їзди, 1 будинок -  4 під`їзди) </t>
  </si>
  <si>
    <t>гуртожиток (5 поверхів)</t>
  </si>
  <si>
    <t>с. Стожковське</t>
  </si>
  <si>
    <t xml:space="preserve">клуб по вул. Комсомольська,24 </t>
  </si>
  <si>
    <t>тубсанаторій  по вул. Спортивна,8 (2 поверхи)</t>
  </si>
  <si>
    <t>дитячий садок "Дельфін" (2 поверхи)</t>
  </si>
  <si>
    <t xml:space="preserve">центр туризму та краєзнавства  по вул. Радянська,10 (2 поверхи) </t>
  </si>
  <si>
    <t>Пожарна частина по вул. Першотравнева,54</t>
  </si>
  <si>
    <t>добропільський відділ УМВС по вул. Першотравнева,52</t>
  </si>
  <si>
    <t>будинок КРУ по пер. Радянський,12</t>
  </si>
  <si>
    <t>будинок міського суду по вул. Радянська,39</t>
  </si>
  <si>
    <t>будинок райдержадміністрації Добропільського району по вул. Московська,1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</si>
</sst>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[$-419]d\ mmm;@"/>
    <numFmt numFmtId="174" formatCode="dd/mm/yy;@"/>
    <numFmt numFmtId="175" formatCode="[$-FC19]d\ mmmm\ yyyy\ &quot;г.&quot;"/>
    <numFmt numFmtId="176" formatCode="d/m/yyyy;@"/>
    <numFmt numFmtId="177" formatCode="#,##0.0"/>
    <numFmt numFmtId="178" formatCode="#,##0.000"/>
    <numFmt numFmtId="179" formatCode="#,##0.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0"/>
    <numFmt numFmtId="187" formatCode="#,##0.00000"/>
    <numFmt numFmtId="188" formatCode="[$-419]mmmm;@"/>
    <numFmt numFmtId="189" formatCode="mmm/yyyy"/>
    <numFmt numFmtId="190" formatCode="[$-419]mmmm\ yyyy;@"/>
    <numFmt numFmtId="191" formatCode="d/m/yy;@"/>
    <numFmt numFmtId="192" formatCode="[$-419]d\-mmm\-yyyy;@"/>
    <numFmt numFmtId="193" formatCode="[$-419]d\ mmm\ yy;@"/>
    <numFmt numFmtId="194" formatCode="[$-419]dd\ mmm\ yy;@"/>
    <numFmt numFmtId="195" formatCode="0.0%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#,##0.0&quot;р.&quot;"/>
    <numFmt numFmtId="208" formatCode="_(* #,##0.0_);_(* \(#,##0.0\);_(* &quot;-&quot;??_);_(@_)"/>
    <numFmt numFmtId="209" formatCode="_(* #,##0_);_(* \(#,##0\);_(* &quot;-&quot;??_);_(@_)"/>
    <numFmt numFmtId="210" formatCode="0.0000000000"/>
    <numFmt numFmtId="211" formatCode="0.00000000000"/>
  </numFmts>
  <fonts count="7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sz val="10"/>
      <name val="Arial"/>
      <family val="0"/>
    </font>
    <font>
      <b/>
      <sz val="16"/>
      <name val="Times New Roman"/>
      <family val="1"/>
    </font>
    <font>
      <b/>
      <sz val="20"/>
      <name val="Times New Roman"/>
      <family val="1"/>
    </font>
    <font>
      <sz val="10"/>
      <color indexed="10"/>
      <name val="Arial Cyr"/>
      <family val="0"/>
    </font>
    <font>
      <sz val="14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20"/>
      <color indexed="8"/>
      <name val="Times New Roman"/>
      <family val="1"/>
    </font>
    <font>
      <b/>
      <i/>
      <sz val="20"/>
      <name val="Times New Roman"/>
      <family val="1"/>
    </font>
    <font>
      <i/>
      <sz val="20"/>
      <name val="Times New Roman"/>
      <family val="1"/>
    </font>
    <font>
      <sz val="20"/>
      <color indexed="10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36"/>
      <name val="Times New Roman"/>
      <family val="1"/>
    </font>
    <font>
      <b/>
      <i/>
      <sz val="20"/>
      <color indexed="8"/>
      <name val="Times New Roman"/>
      <family val="1"/>
    </font>
    <font>
      <sz val="16"/>
      <name val="Times New Roman"/>
      <family val="1"/>
    </font>
    <font>
      <sz val="20"/>
      <name val="Arial Cyr"/>
      <family val="0"/>
    </font>
    <font>
      <b/>
      <sz val="26"/>
      <name val="Times New Roman"/>
      <family val="1"/>
    </font>
    <font>
      <sz val="18"/>
      <name val="Arial Cyr"/>
      <family val="0"/>
    </font>
    <font>
      <b/>
      <i/>
      <sz val="22"/>
      <name val="Times New Roman"/>
      <family val="1"/>
    </font>
    <font>
      <b/>
      <sz val="10"/>
      <name val="Arial Cyr"/>
      <family val="0"/>
    </font>
    <font>
      <b/>
      <sz val="18"/>
      <name val="Arial Cyr"/>
      <family val="0"/>
    </font>
    <font>
      <b/>
      <sz val="22"/>
      <name val="Times New Roman"/>
      <family val="1"/>
    </font>
    <font>
      <b/>
      <sz val="20"/>
      <name val="Arial Cyr"/>
      <family val="0"/>
    </font>
    <font>
      <b/>
      <sz val="24"/>
      <name val="Times New Roman"/>
      <family val="1"/>
    </font>
    <font>
      <b/>
      <sz val="22"/>
      <name val="Arial Cyr"/>
      <family val="0"/>
    </font>
    <font>
      <i/>
      <sz val="16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10"/>
      <name val="Times New Roman"/>
      <family val="1"/>
    </font>
    <font>
      <b/>
      <sz val="18"/>
      <color indexed="10"/>
      <name val="Times New Roman"/>
      <family val="1"/>
    </font>
    <font>
      <sz val="22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u val="single"/>
      <sz val="24"/>
      <name val="Times New Roman"/>
      <family val="1"/>
    </font>
    <font>
      <sz val="22"/>
      <name val="Arial Cyr"/>
      <family val="0"/>
    </font>
    <font>
      <sz val="24"/>
      <name val="Arial Cyr"/>
      <family val="0"/>
    </font>
    <font>
      <sz val="16"/>
      <name val="Arial Cyr"/>
      <family val="0"/>
    </font>
    <font>
      <b/>
      <u val="single"/>
      <sz val="22"/>
      <name val="Times New Roman"/>
      <family val="1"/>
    </font>
    <font>
      <u val="single"/>
      <sz val="22"/>
      <name val="Times New Roman"/>
      <family val="1"/>
    </font>
    <font>
      <b/>
      <u val="single"/>
      <sz val="16"/>
      <name val="Times New Roman"/>
      <family val="1"/>
    </font>
    <font>
      <b/>
      <u val="single"/>
      <sz val="20"/>
      <name val="Times New Roman"/>
      <family val="1"/>
    </font>
    <font>
      <i/>
      <sz val="18"/>
      <name val="Times New Roman"/>
      <family val="1"/>
    </font>
    <font>
      <u val="single"/>
      <sz val="16"/>
      <name val="Times New Roman"/>
      <family val="1"/>
    </font>
    <font>
      <b/>
      <i/>
      <sz val="16"/>
      <name val="Times New Roman"/>
      <family val="1"/>
    </font>
    <font>
      <u val="single"/>
      <sz val="22"/>
      <name val="Arial Cyr"/>
      <family val="0"/>
    </font>
    <font>
      <b/>
      <sz val="22"/>
      <name val="Times New Roman CYR"/>
      <family val="1"/>
    </font>
    <font>
      <b/>
      <sz val="10"/>
      <name val="Times New Roman CYR"/>
      <family val="1"/>
    </font>
    <font>
      <b/>
      <sz val="24"/>
      <name val="Arial Cyr"/>
      <family val="0"/>
    </font>
    <font>
      <b/>
      <sz val="20"/>
      <name val="Times New Roman CYR"/>
      <family val="1"/>
    </font>
    <font>
      <b/>
      <sz val="16"/>
      <name val="Times New Roman CYR"/>
      <family val="1"/>
    </font>
    <font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color indexed="10"/>
      <name val="Times New Roman"/>
      <family val="1"/>
    </font>
    <font>
      <sz val="14"/>
      <color indexed="36"/>
      <name val="Times New Roman"/>
      <family val="1"/>
    </font>
    <font>
      <b/>
      <sz val="18"/>
      <color indexed="8"/>
      <name val="Times New Roman"/>
      <family val="1"/>
    </font>
    <font>
      <b/>
      <i/>
      <sz val="18"/>
      <name val="Times New Roman"/>
      <family val="1"/>
    </font>
    <font>
      <b/>
      <i/>
      <sz val="9"/>
      <name val="Times New Roman CYR"/>
      <family val="1"/>
    </font>
    <font>
      <i/>
      <sz val="10"/>
      <name val="Arial Cyr"/>
      <family val="0"/>
    </font>
    <font>
      <b/>
      <sz val="14"/>
      <name val="Times New Roman CYR"/>
      <family val="1"/>
    </font>
    <font>
      <b/>
      <sz val="18"/>
      <name val="Times New Roman CYR"/>
      <family val="1"/>
    </font>
    <font>
      <sz val="14"/>
      <name val="Times New Roman CYR"/>
      <family val="1"/>
    </font>
    <font>
      <sz val="12"/>
      <name val="Arial Cyr"/>
      <family val="0"/>
    </font>
    <font>
      <i/>
      <sz val="14"/>
      <name val="Times New Roman"/>
      <family val="1"/>
    </font>
    <font>
      <b/>
      <sz val="22"/>
      <color indexed="10"/>
      <name val="Times New Roman"/>
      <family val="1"/>
    </font>
    <font>
      <sz val="22"/>
      <color indexed="8"/>
      <name val="Times New Roman"/>
      <family val="1"/>
    </font>
    <font>
      <sz val="22"/>
      <color indexed="10"/>
      <name val="Times New Roman"/>
      <family val="1"/>
    </font>
    <font>
      <b/>
      <sz val="36"/>
      <name val="Times New Roman"/>
      <family val="1"/>
    </font>
    <font>
      <b/>
      <u val="single"/>
      <sz val="36"/>
      <name val="Times New Roman"/>
      <family val="1"/>
    </font>
    <font>
      <b/>
      <sz val="3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1">
    <xf numFmtId="0" fontId="0" fillId="0" borderId="0" xfId="0" applyAlignment="1">
      <alignment/>
    </xf>
    <xf numFmtId="3" fontId="11" fillId="0" borderId="1" xfId="0" applyNumberFormat="1" applyFont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3" fontId="20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3" fontId="19" fillId="3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 wrapText="1"/>
    </xf>
    <xf numFmtId="4" fontId="27" fillId="0" borderId="0" xfId="0" applyNumberFormat="1" applyFont="1" applyAlignment="1">
      <alignment horizontal="center" vertical="center" wrapText="1"/>
    </xf>
    <xf numFmtId="4" fontId="27" fillId="0" borderId="3" xfId="0" applyNumberFormat="1" applyFont="1" applyBorder="1" applyAlignment="1">
      <alignment horizontal="center" vertical="center" wrapText="1"/>
    </xf>
    <xf numFmtId="3" fontId="27" fillId="0" borderId="1" xfId="0" applyNumberFormat="1" applyFont="1" applyBorder="1" applyAlignment="1">
      <alignment horizontal="center" vertical="center" wrapText="1"/>
    </xf>
    <xf numFmtId="4" fontId="27" fillId="0" borderId="2" xfId="0" applyNumberFormat="1" applyFont="1" applyBorder="1" applyAlignment="1">
      <alignment horizontal="center" vertical="center" wrapText="1"/>
    </xf>
    <xf numFmtId="3" fontId="27" fillId="0" borderId="2" xfId="0" applyNumberFormat="1" applyFont="1" applyBorder="1" applyAlignment="1">
      <alignment horizontal="center" vertical="center" wrapText="1"/>
    </xf>
    <xf numFmtId="3" fontId="27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4" fontId="17" fillId="0" borderId="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177" fontId="9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" fontId="17" fillId="4" borderId="2" xfId="0" applyNumberFormat="1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 vertical="center"/>
    </xf>
    <xf numFmtId="3" fontId="27" fillId="0" borderId="4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3" fontId="27" fillId="0" borderId="4" xfId="0" applyNumberFormat="1" applyFont="1" applyBorder="1" applyAlignment="1">
      <alignment horizontal="center" vertical="center" wrapText="1"/>
    </xf>
    <xf numFmtId="3" fontId="27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/>
    </xf>
    <xf numFmtId="3" fontId="29" fillId="0" borderId="2" xfId="0" applyNumberFormat="1" applyFont="1" applyBorder="1" applyAlignment="1">
      <alignment horizontal="center" vertical="center" wrapText="1"/>
    </xf>
    <xf numFmtId="0" fontId="29" fillId="0" borderId="0" xfId="0" applyFont="1" applyAlignment="1">
      <alignment/>
    </xf>
    <xf numFmtId="3" fontId="27" fillId="0" borderId="2" xfId="0" applyNumberFormat="1" applyFont="1" applyBorder="1" applyAlignment="1">
      <alignment horizontal="center" vertical="center" wrapText="1" shrinkToFit="1"/>
    </xf>
    <xf numFmtId="3" fontId="27" fillId="0" borderId="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3" fontId="27" fillId="0" borderId="8" xfId="0" applyNumberFormat="1" applyFont="1" applyBorder="1" applyAlignment="1">
      <alignment horizontal="center" vertical="center" wrapText="1" shrinkToFit="1"/>
    </xf>
    <xf numFmtId="3" fontId="27" fillId="0" borderId="8" xfId="0" applyNumberFormat="1" applyFont="1" applyBorder="1" applyAlignment="1">
      <alignment horizontal="center" vertical="center" wrapText="1"/>
    </xf>
    <xf numFmtId="3" fontId="27" fillId="0" borderId="9" xfId="0" applyNumberFormat="1" applyFont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3" fontId="29" fillId="0" borderId="8" xfId="0" applyNumberFormat="1" applyFont="1" applyBorder="1" applyAlignment="1">
      <alignment horizontal="center" vertical="center" wrapText="1"/>
    </xf>
    <xf numFmtId="3" fontId="29" fillId="0" borderId="4" xfId="0" applyNumberFormat="1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3" fontId="29" fillId="0" borderId="2" xfId="0" applyNumberFormat="1" applyFont="1" applyBorder="1" applyAlignment="1">
      <alignment horizontal="center" vertical="center" wrapText="1" shrinkToFit="1"/>
    </xf>
    <xf numFmtId="3" fontId="29" fillId="0" borderId="6" xfId="0" applyNumberFormat="1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7" fillId="0" borderId="1" xfId="0" applyFont="1" applyBorder="1" applyAlignment="1">
      <alignment horizontal="center" vertical="center"/>
    </xf>
    <xf numFmtId="3" fontId="37" fillId="0" borderId="2" xfId="0" applyNumberFormat="1" applyFont="1" applyBorder="1" applyAlignment="1">
      <alignment horizontal="center" vertical="center" wrapText="1" shrinkToFit="1"/>
    </xf>
    <xf numFmtId="3" fontId="37" fillId="0" borderId="2" xfId="0" applyNumberFormat="1" applyFont="1" applyBorder="1" applyAlignment="1">
      <alignment horizontal="center" vertical="center" wrapText="1"/>
    </xf>
    <xf numFmtId="3" fontId="37" fillId="0" borderId="6" xfId="0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29" fillId="0" borderId="11" xfId="0" applyFont="1" applyBorder="1" applyAlignment="1">
      <alignment horizontal="center" vertical="center"/>
    </xf>
    <xf numFmtId="4" fontId="27" fillId="0" borderId="6" xfId="0" applyNumberFormat="1" applyFont="1" applyBorder="1" applyAlignment="1">
      <alignment horizontal="center" vertical="center" wrapText="1"/>
    </xf>
    <xf numFmtId="4" fontId="27" fillId="0" borderId="2" xfId="0" applyNumberFormat="1" applyFont="1" applyBorder="1" applyAlignment="1">
      <alignment horizontal="center" vertical="center" textRotation="90" wrapText="1"/>
    </xf>
    <xf numFmtId="4" fontId="27" fillId="0" borderId="4" xfId="0" applyNumberFormat="1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4" fontId="27" fillId="0" borderId="1" xfId="0" applyNumberFormat="1" applyFont="1" applyBorder="1" applyAlignment="1">
      <alignment horizontal="center" vertical="center" wrapText="1" shrinkToFit="1"/>
    </xf>
    <xf numFmtId="4" fontId="29" fillId="0" borderId="0" xfId="0" applyNumberFormat="1" applyFont="1" applyAlignment="1">
      <alignment horizontal="center" vertical="center" wrapText="1"/>
    </xf>
    <xf numFmtId="3" fontId="27" fillId="0" borderId="12" xfId="0" applyNumberFormat="1" applyFont="1" applyBorder="1" applyAlignment="1">
      <alignment horizontal="center" vertical="center" wrapText="1"/>
    </xf>
    <xf numFmtId="3" fontId="27" fillId="0" borderId="3" xfId="0" applyNumberFormat="1" applyFont="1" applyBorder="1" applyAlignment="1">
      <alignment horizontal="center" vertical="center" wrapText="1"/>
    </xf>
    <xf numFmtId="4" fontId="27" fillId="0" borderId="13" xfId="0" applyNumberFormat="1" applyFont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center" vertical="center" wrapText="1"/>
    </xf>
    <xf numFmtId="3" fontId="37" fillId="0" borderId="1" xfId="0" applyNumberFormat="1" applyFont="1" applyBorder="1" applyAlignment="1">
      <alignment horizontal="center" vertical="center" wrapText="1"/>
    </xf>
    <xf numFmtId="4" fontId="37" fillId="0" borderId="2" xfId="0" applyNumberFormat="1" applyFont="1" applyBorder="1" applyAlignment="1">
      <alignment horizontal="center" vertical="center" wrapText="1"/>
    </xf>
    <xf numFmtId="4" fontId="37" fillId="0" borderId="6" xfId="0" applyNumberFormat="1" applyFont="1" applyBorder="1" applyAlignment="1">
      <alignment horizontal="center" vertical="center" wrapText="1"/>
    </xf>
    <xf numFmtId="4" fontId="37" fillId="0" borderId="0" xfId="0" applyNumberFormat="1" applyFont="1" applyAlignment="1">
      <alignment horizontal="center" vertical="center" wrapText="1"/>
    </xf>
    <xf numFmtId="177" fontId="27" fillId="0" borderId="2" xfId="0" applyNumberFormat="1" applyFont="1" applyFill="1" applyBorder="1" applyAlignment="1">
      <alignment horizontal="center" vertical="center" wrapText="1"/>
    </xf>
    <xf numFmtId="4" fontId="27" fillId="0" borderId="2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15" fillId="0" borderId="0" xfId="0" applyNumberFormat="1" applyFont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 wrapText="1"/>
    </xf>
    <xf numFmtId="3" fontId="15" fillId="0" borderId="6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center" wrapText="1"/>
    </xf>
    <xf numFmtId="4" fontId="15" fillId="3" borderId="2" xfId="0" applyNumberFormat="1" applyFont="1" applyFill="1" applyBorder="1" applyAlignment="1">
      <alignment horizontal="center" vertical="center" wrapText="1"/>
    </xf>
    <xf numFmtId="3" fontId="19" fillId="3" borderId="2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4" fontId="14" fillId="3" borderId="2" xfId="0" applyNumberFormat="1" applyFont="1" applyFill="1" applyBorder="1" applyAlignment="1">
      <alignment horizontal="center" vertical="center" wrapText="1"/>
    </xf>
    <xf numFmtId="3" fontId="14" fillId="3" borderId="2" xfId="0" applyNumberFormat="1" applyFont="1" applyFill="1" applyBorder="1" applyAlignment="1">
      <alignment horizontal="center" vertical="center" wrapText="1"/>
    </xf>
    <xf numFmtId="3" fontId="14" fillId="3" borderId="2" xfId="0" applyNumberFormat="1" applyFont="1" applyFill="1" applyBorder="1" applyAlignment="1">
      <alignment horizontal="center" vertical="center"/>
    </xf>
    <xf numFmtId="4" fontId="14" fillId="3" borderId="2" xfId="0" applyNumberFormat="1" applyFont="1" applyFill="1" applyBorder="1" applyAlignment="1">
      <alignment horizontal="center" vertical="center"/>
    </xf>
    <xf numFmtId="3" fontId="8" fillId="3" borderId="6" xfId="0" applyNumberFormat="1" applyFont="1" applyFill="1" applyBorder="1" applyAlignment="1">
      <alignment horizontal="center" vertical="center"/>
    </xf>
    <xf numFmtId="3" fontId="11" fillId="3" borderId="6" xfId="0" applyNumberFormat="1" applyFont="1" applyFill="1" applyBorder="1" applyAlignment="1">
      <alignment horizontal="center" vertical="center"/>
    </xf>
    <xf numFmtId="4" fontId="19" fillId="3" borderId="2" xfId="0" applyNumberFormat="1" applyFont="1" applyFill="1" applyBorder="1" applyAlignment="1">
      <alignment horizontal="center" vertical="center" wrapText="1"/>
    </xf>
    <xf numFmtId="3" fontId="17" fillId="3" borderId="2" xfId="0" applyNumberFormat="1" applyFont="1" applyFill="1" applyBorder="1" applyAlignment="1">
      <alignment horizontal="center" vertical="center" wrapText="1"/>
    </xf>
    <xf numFmtId="3" fontId="19" fillId="3" borderId="2" xfId="0" applyNumberFormat="1" applyFont="1" applyFill="1" applyBorder="1" applyAlignment="1">
      <alignment horizontal="center" vertical="center"/>
    </xf>
    <xf numFmtId="3" fontId="19" fillId="3" borderId="2" xfId="0" applyNumberFormat="1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/>
    </xf>
    <xf numFmtId="3" fontId="14" fillId="3" borderId="6" xfId="0" applyNumberFormat="1" applyFont="1" applyFill="1" applyBorder="1" applyAlignment="1">
      <alignment horizontal="center" vertical="center"/>
    </xf>
    <xf numFmtId="3" fontId="8" fillId="6" borderId="11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3" fontId="35" fillId="0" borderId="0" xfId="0" applyNumberFormat="1" applyFont="1" applyFill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3" fontId="27" fillId="0" borderId="3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Alignment="1">
      <alignment horizontal="center" vertical="center" wrapText="1"/>
    </xf>
    <xf numFmtId="3" fontId="35" fillId="0" borderId="2" xfId="0" applyNumberFormat="1" applyFont="1" applyFill="1" applyBorder="1" applyAlignment="1">
      <alignment horizontal="center" vertical="center" wrapText="1"/>
    </xf>
    <xf numFmtId="3" fontId="35" fillId="0" borderId="0" xfId="0" applyNumberFormat="1" applyFont="1" applyFill="1" applyBorder="1" applyAlignment="1">
      <alignment horizontal="center" vertical="center" wrapText="1"/>
    </xf>
    <xf numFmtId="3" fontId="32" fillId="0" borderId="2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Alignment="1">
      <alignment horizontal="center" vertical="center" wrapText="1"/>
    </xf>
    <xf numFmtId="3" fontId="27" fillId="0" borderId="4" xfId="0" applyNumberFormat="1" applyFont="1" applyFill="1" applyBorder="1" applyAlignment="1">
      <alignment horizontal="center" vertical="center" textRotation="90" wrapText="1"/>
    </xf>
    <xf numFmtId="3" fontId="8" fillId="0" borderId="5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12" fillId="0" borderId="0" xfId="0" applyNumberFormat="1" applyFont="1" applyFill="1" applyAlignment="1">
      <alignment horizontal="center" vertical="center" wrapText="1"/>
    </xf>
    <xf numFmtId="3" fontId="27" fillId="0" borderId="1" xfId="0" applyNumberFormat="1" applyFont="1" applyFill="1" applyBorder="1" applyAlignment="1">
      <alignment horizontal="center" vertical="center" wrapText="1"/>
    </xf>
    <xf numFmtId="3" fontId="27" fillId="0" borderId="6" xfId="0" applyNumberFormat="1" applyFont="1" applyFill="1" applyBorder="1" applyAlignment="1">
      <alignment horizontal="center" vertical="center" wrapText="1"/>
    </xf>
    <xf numFmtId="3" fontId="27" fillId="0" borderId="11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3" fontId="10" fillId="0" borderId="0" xfId="0" applyNumberFormat="1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4" fontId="26" fillId="0" borderId="0" xfId="0" applyNumberFormat="1" applyFont="1" applyFill="1" applyAlignment="1">
      <alignment horizontal="center" vertical="center" wrapText="1"/>
    </xf>
    <xf numFmtId="4" fontId="20" fillId="0" borderId="0" xfId="0" applyNumberFormat="1" applyFont="1" applyFill="1" applyAlignment="1">
      <alignment horizontal="center" vertical="center" wrapText="1"/>
    </xf>
    <xf numFmtId="3" fontId="20" fillId="0" borderId="0" xfId="0" applyNumberFormat="1" applyFont="1" applyBorder="1" applyAlignment="1">
      <alignment horizontal="center" vertical="center" wrapText="1"/>
    </xf>
    <xf numFmtId="3" fontId="27" fillId="0" borderId="8" xfId="0" applyNumberFormat="1" applyFont="1" applyFill="1" applyBorder="1" applyAlignment="1">
      <alignment horizontal="center" vertical="center" wrapText="1"/>
    </xf>
    <xf numFmtId="3" fontId="35" fillId="0" borderId="0" xfId="0" applyNumberFormat="1" applyFont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4" fontId="27" fillId="0" borderId="3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3" fontId="27" fillId="0" borderId="16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178" fontId="20" fillId="0" borderId="0" xfId="0" applyNumberFormat="1" applyFont="1" applyAlignment="1">
      <alignment horizontal="center" vertical="center" wrapText="1"/>
    </xf>
    <xf numFmtId="179" fontId="20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3" fontId="20" fillId="0" borderId="2" xfId="0" applyNumberFormat="1" applyFont="1" applyBorder="1" applyAlignment="1">
      <alignment horizontal="center" vertical="center" textRotation="90" wrapText="1"/>
    </xf>
    <xf numFmtId="3" fontId="7" fillId="0" borderId="0" xfId="0" applyNumberFormat="1" applyFont="1" applyBorder="1" applyAlignment="1">
      <alignment horizontal="center" vertical="center" wrapText="1"/>
    </xf>
    <xf numFmtId="3" fontId="3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27" fillId="0" borderId="5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3" fontId="27" fillId="0" borderId="7" xfId="0" applyNumberFormat="1" applyFont="1" applyFill="1" applyBorder="1" applyAlignment="1">
      <alignment horizontal="center" vertical="center" wrapText="1"/>
    </xf>
    <xf numFmtId="3" fontId="27" fillId="0" borderId="9" xfId="0" applyNumberFormat="1" applyFont="1" applyFill="1" applyBorder="1" applyAlignment="1">
      <alignment horizontal="center" vertical="center" wrapText="1"/>
    </xf>
    <xf numFmtId="3" fontId="27" fillId="0" borderId="2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center" vertical="center" wrapText="1"/>
    </xf>
    <xf numFmtId="3" fontId="27" fillId="0" borderId="16" xfId="0" applyNumberFormat="1" applyFont="1" applyFill="1" applyBorder="1" applyAlignment="1">
      <alignment horizontal="center" vertical="center" wrapText="1"/>
    </xf>
    <xf numFmtId="3" fontId="27" fillId="0" borderId="12" xfId="0" applyNumberFormat="1" applyFont="1" applyFill="1" applyBorder="1" applyAlignment="1">
      <alignment horizontal="center" vertical="center" wrapText="1"/>
    </xf>
    <xf numFmtId="4" fontId="27" fillId="0" borderId="3" xfId="0" applyNumberFormat="1" applyFont="1" applyFill="1" applyBorder="1" applyAlignment="1">
      <alignment horizontal="center" vertical="center" wrapText="1"/>
    </xf>
    <xf numFmtId="3" fontId="27" fillId="0" borderId="3" xfId="0" applyNumberFormat="1" applyFont="1" applyFill="1" applyBorder="1" applyAlignment="1">
      <alignment horizontal="center" vertical="center" wrapText="1"/>
    </xf>
    <xf numFmtId="3" fontId="35" fillId="0" borderId="18" xfId="0" applyNumberFormat="1" applyFont="1" applyFill="1" applyBorder="1" applyAlignment="1">
      <alignment horizontal="center" vertical="center" wrapText="1"/>
    </xf>
    <xf numFmtId="3" fontId="35" fillId="0" borderId="12" xfId="0" applyNumberFormat="1" applyFont="1" applyFill="1" applyBorder="1" applyAlignment="1">
      <alignment horizontal="center" vertical="center" wrapText="1"/>
    </xf>
    <xf numFmtId="3" fontId="35" fillId="0" borderId="3" xfId="0" applyNumberFormat="1" applyFont="1" applyFill="1" applyBorder="1" applyAlignment="1">
      <alignment horizontal="center" vertical="center" wrapText="1"/>
    </xf>
    <xf numFmtId="4" fontId="35" fillId="0" borderId="3" xfId="0" applyNumberFormat="1" applyFont="1" applyFill="1" applyBorder="1" applyAlignment="1">
      <alignment horizontal="center" vertical="center" wrapText="1"/>
    </xf>
    <xf numFmtId="3" fontId="35" fillId="0" borderId="20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Fill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Alignment="1">
      <alignment horizontal="center" vertical="center" wrapText="1"/>
    </xf>
    <xf numFmtId="3" fontId="39" fillId="0" borderId="0" xfId="0" applyNumberFormat="1" applyFont="1" applyFill="1" applyAlignment="1">
      <alignment horizontal="center" vertical="center" wrapText="1"/>
    </xf>
    <xf numFmtId="3" fontId="45" fillId="0" borderId="3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4" fontId="27" fillId="0" borderId="8" xfId="0" applyNumberFormat="1" applyFont="1" applyFill="1" applyBorder="1" applyAlignment="1">
      <alignment horizontal="center" vertical="center" wrapText="1"/>
    </xf>
    <xf numFmtId="4" fontId="27" fillId="0" borderId="4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27" fillId="0" borderId="21" xfId="0" applyNumberFormat="1" applyFont="1" applyBorder="1" applyAlignment="1">
      <alignment horizontal="center" vertical="center" wrapText="1"/>
    </xf>
    <xf numFmtId="4" fontId="27" fillId="0" borderId="22" xfId="0" applyNumberFormat="1" applyFont="1" applyBorder="1" applyAlignment="1">
      <alignment horizontal="center" vertical="center" wrapText="1"/>
    </xf>
    <xf numFmtId="4" fontId="27" fillId="0" borderId="6" xfId="0" applyNumberFormat="1" applyFont="1" applyBorder="1" applyAlignment="1">
      <alignment horizontal="center" vertical="center" textRotation="90" wrapText="1"/>
    </xf>
    <xf numFmtId="3" fontId="8" fillId="0" borderId="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4" fontId="23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4" fontId="27" fillId="0" borderId="6" xfId="0" applyNumberFormat="1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 wrapText="1"/>
    </xf>
    <xf numFmtId="3" fontId="29" fillId="0" borderId="3" xfId="0" applyNumberFormat="1" applyFont="1" applyFill="1" applyBorder="1" applyAlignment="1">
      <alignment horizontal="center" vertical="center" wrapText="1"/>
    </xf>
    <xf numFmtId="3" fontId="29" fillId="0" borderId="2" xfId="0" applyNumberFormat="1" applyFont="1" applyFill="1" applyBorder="1" applyAlignment="1">
      <alignment horizontal="center" vertical="center" wrapText="1"/>
    </xf>
    <xf numFmtId="4" fontId="29" fillId="0" borderId="2" xfId="0" applyNumberFormat="1" applyFont="1" applyFill="1" applyBorder="1" applyAlignment="1">
      <alignment horizontal="center" vertical="center" wrapText="1"/>
    </xf>
    <xf numFmtId="4" fontId="29" fillId="0" borderId="6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Alignment="1">
      <alignment horizontal="center" vertical="center" wrapText="1"/>
    </xf>
    <xf numFmtId="4" fontId="31" fillId="0" borderId="0" xfId="0" applyNumberFormat="1" applyFont="1" applyAlignment="1">
      <alignment horizontal="center" vertical="center" wrapText="1"/>
    </xf>
    <xf numFmtId="4" fontId="27" fillId="0" borderId="8" xfId="0" applyNumberFormat="1" applyFont="1" applyBorder="1" applyAlignment="1">
      <alignment horizontal="center" vertical="center" wrapText="1"/>
    </xf>
    <xf numFmtId="4" fontId="27" fillId="0" borderId="9" xfId="0" applyNumberFormat="1" applyFont="1" applyBorder="1" applyAlignment="1">
      <alignment horizontal="center" vertical="center" wrapText="1"/>
    </xf>
    <xf numFmtId="3" fontId="47" fillId="0" borderId="0" xfId="0" applyNumberFormat="1" applyFont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 wrapText="1"/>
    </xf>
    <xf numFmtId="3" fontId="20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3" fontId="27" fillId="0" borderId="1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/>
    </xf>
    <xf numFmtId="4" fontId="27" fillId="0" borderId="2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Alignment="1">
      <alignment horizontal="center" vertical="center"/>
    </xf>
    <xf numFmtId="3" fontId="27" fillId="0" borderId="7" xfId="0" applyNumberFormat="1" applyFont="1" applyFill="1" applyBorder="1" applyAlignment="1">
      <alignment horizontal="center" vertical="center"/>
    </xf>
    <xf numFmtId="4" fontId="27" fillId="0" borderId="9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Alignment="1">
      <alignment horizontal="center" vertical="center"/>
    </xf>
    <xf numFmtId="4" fontId="27" fillId="0" borderId="0" xfId="0" applyNumberFormat="1" applyFont="1" applyFill="1" applyAlignment="1">
      <alignment horizontal="left" vertical="center"/>
    </xf>
    <xf numFmtId="4" fontId="27" fillId="0" borderId="0" xfId="0" applyNumberFormat="1" applyFont="1" applyFill="1" applyBorder="1" applyAlignment="1">
      <alignment horizontal="left" vertical="center"/>
    </xf>
    <xf numFmtId="4" fontId="31" fillId="0" borderId="2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3" fontId="44" fillId="0" borderId="2" xfId="0" applyNumberFormat="1" applyFont="1" applyFill="1" applyBorder="1" applyAlignment="1">
      <alignment horizontal="center" vertical="center" wrapText="1"/>
    </xf>
    <xf numFmtId="4" fontId="47" fillId="0" borderId="2" xfId="0" applyNumberFormat="1" applyFont="1" applyFill="1" applyBorder="1" applyAlignment="1">
      <alignment horizontal="center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" fontId="44" fillId="0" borderId="6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Border="1" applyAlignment="1">
      <alignment horizontal="center" vertical="center" wrapText="1"/>
    </xf>
    <xf numFmtId="4" fontId="12" fillId="0" borderId="8" xfId="0" applyNumberFormat="1" applyFont="1" applyFill="1" applyBorder="1" applyAlignment="1">
      <alignment horizontal="center" vertical="center" wrapText="1"/>
    </xf>
    <xf numFmtId="4" fontId="46" fillId="0" borderId="8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46" fillId="0" borderId="2" xfId="0" applyNumberFormat="1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center" vertical="center" wrapText="1"/>
    </xf>
    <xf numFmtId="4" fontId="12" fillId="0" borderId="23" xfId="0" applyNumberFormat="1" applyFont="1" applyBorder="1" applyAlignment="1">
      <alignment horizontal="center" vertical="center" wrapText="1"/>
    </xf>
    <xf numFmtId="3" fontId="12" fillId="0" borderId="24" xfId="0" applyNumberFormat="1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3" fontId="12" fillId="0" borderId="25" xfId="0" applyNumberFormat="1" applyFont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3" fontId="45" fillId="0" borderId="2" xfId="0" applyNumberFormat="1" applyFont="1" applyFill="1" applyBorder="1" applyAlignment="1">
      <alignment horizontal="center" vertical="center" wrapText="1" shrinkToFit="1"/>
    </xf>
    <xf numFmtId="3" fontId="11" fillId="0" borderId="2" xfId="0" applyNumberFormat="1" applyFont="1" applyFill="1" applyBorder="1" applyAlignment="1">
      <alignment horizontal="center" vertical="center" wrapText="1" shrinkToFit="1"/>
    </xf>
    <xf numFmtId="3" fontId="8" fillId="0" borderId="2" xfId="0" applyNumberFormat="1" applyFont="1" applyFill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 wrapText="1" shrinkToFit="1"/>
    </xf>
    <xf numFmtId="3" fontId="20" fillId="0" borderId="8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4" fontId="20" fillId="0" borderId="8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4" fontId="31" fillId="0" borderId="8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center" vertical="center" wrapText="1"/>
    </xf>
    <xf numFmtId="3" fontId="31" fillId="0" borderId="4" xfId="0" applyNumberFormat="1" applyFont="1" applyBorder="1" applyAlignment="1">
      <alignment horizontal="center" vertical="center" wrapText="1"/>
    </xf>
    <xf numFmtId="3" fontId="48" fillId="0" borderId="4" xfId="0" applyNumberFormat="1" applyFont="1" applyBorder="1" applyAlignment="1">
      <alignment horizontal="center" vertical="center" wrapText="1"/>
    </xf>
    <xf numFmtId="195" fontId="31" fillId="0" borderId="4" xfId="20" applyNumberFormat="1" applyFont="1" applyFill="1" applyBorder="1" applyAlignment="1">
      <alignment horizontal="center" vertical="center" wrapText="1"/>
    </xf>
    <xf numFmtId="195" fontId="48" fillId="0" borderId="4" xfId="20" applyNumberFormat="1" applyFont="1" applyBorder="1" applyAlignment="1">
      <alignment horizontal="center" vertical="center" wrapText="1"/>
    </xf>
    <xf numFmtId="195" fontId="31" fillId="0" borderId="4" xfId="20" applyNumberFormat="1" applyFont="1" applyBorder="1" applyAlignment="1">
      <alignment horizontal="center" vertical="center" wrapText="1"/>
    </xf>
    <xf numFmtId="4" fontId="48" fillId="0" borderId="4" xfId="0" applyNumberFormat="1" applyFont="1" applyBorder="1" applyAlignment="1">
      <alignment horizontal="center" vertical="center" wrapText="1"/>
    </xf>
    <xf numFmtId="4" fontId="31" fillId="0" borderId="4" xfId="0" applyNumberFormat="1" applyFont="1" applyBorder="1" applyAlignment="1">
      <alignment horizontal="center" vertical="center" wrapText="1"/>
    </xf>
    <xf numFmtId="4" fontId="31" fillId="0" borderId="10" xfId="0" applyNumberFormat="1" applyFont="1" applyBorder="1" applyAlignment="1">
      <alignment horizontal="center" vertical="center" wrapText="1"/>
    </xf>
    <xf numFmtId="4" fontId="12" fillId="5" borderId="16" xfId="0" applyNumberFormat="1" applyFont="1" applyFill="1" applyBorder="1" applyAlignment="1">
      <alignment horizontal="center" vertical="center" wrapText="1"/>
    </xf>
    <xf numFmtId="3" fontId="12" fillId="5" borderId="16" xfId="0" applyNumberFormat="1" applyFont="1" applyFill="1" applyBorder="1" applyAlignment="1">
      <alignment horizontal="center" vertical="center" wrapText="1"/>
    </xf>
    <xf numFmtId="3" fontId="12" fillId="5" borderId="2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3" fontId="42" fillId="0" borderId="0" xfId="0" applyNumberFormat="1" applyFont="1" applyFill="1" applyAlignment="1">
      <alignment horizontal="center" vertical="center"/>
    </xf>
    <xf numFmtId="4" fontId="42" fillId="0" borderId="0" xfId="0" applyNumberFormat="1" applyFont="1" applyFill="1" applyAlignment="1">
      <alignment horizontal="center" vertical="center"/>
    </xf>
    <xf numFmtId="3" fontId="27" fillId="0" borderId="17" xfId="0" applyNumberFormat="1" applyFont="1" applyFill="1" applyBorder="1" applyAlignment="1">
      <alignment horizontal="center" vertical="center"/>
    </xf>
    <xf numFmtId="3" fontId="27" fillId="0" borderId="5" xfId="0" applyNumberFormat="1" applyFont="1" applyFill="1" applyBorder="1" applyAlignment="1">
      <alignment horizontal="center" vertical="center"/>
    </xf>
    <xf numFmtId="3" fontId="43" fillId="0" borderId="0" xfId="0" applyNumberFormat="1" applyFont="1" applyAlignment="1">
      <alignment horizontal="center" vertical="center" wrapText="1"/>
    </xf>
    <xf numFmtId="3" fontId="35" fillId="0" borderId="11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3" fontId="35" fillId="0" borderId="2" xfId="0" applyNumberFormat="1" applyFont="1" applyBorder="1" applyAlignment="1">
      <alignment horizontal="center" vertical="center" wrapText="1"/>
    </xf>
    <xf numFmtId="3" fontId="42" fillId="0" borderId="2" xfId="0" applyNumberFormat="1" applyFont="1" applyBorder="1" applyAlignment="1">
      <alignment horizontal="center" vertical="center" wrapText="1" shrinkToFit="1"/>
    </xf>
    <xf numFmtId="3" fontId="35" fillId="0" borderId="2" xfId="0" applyNumberFormat="1" applyFont="1" applyBorder="1" applyAlignment="1">
      <alignment horizontal="center" vertical="center" wrapText="1" shrinkToFit="1"/>
    </xf>
    <xf numFmtId="3" fontId="35" fillId="0" borderId="1" xfId="0" applyNumberFormat="1" applyFont="1" applyBorder="1" applyAlignment="1">
      <alignment horizontal="center" vertical="center" wrapText="1"/>
    </xf>
    <xf numFmtId="3" fontId="35" fillId="0" borderId="4" xfId="0" applyNumberFormat="1" applyFont="1" applyBorder="1" applyAlignment="1">
      <alignment horizontal="center" vertical="center" wrapText="1"/>
    </xf>
    <xf numFmtId="3" fontId="35" fillId="0" borderId="27" xfId="0" applyNumberFormat="1" applyFont="1" applyBorder="1" applyAlignment="1">
      <alignment horizontal="center" vertical="center" wrapText="1"/>
    </xf>
    <xf numFmtId="3" fontId="35" fillId="0" borderId="28" xfId="0" applyNumberFormat="1" applyFont="1" applyBorder="1" applyAlignment="1">
      <alignment horizontal="center" vertical="center" wrapText="1"/>
    </xf>
    <xf numFmtId="3" fontId="35" fillId="0" borderId="29" xfId="0" applyNumberFormat="1" applyFont="1" applyBorder="1" applyAlignment="1">
      <alignment horizontal="center" vertical="center" wrapText="1"/>
    </xf>
    <xf numFmtId="3" fontId="35" fillId="0" borderId="30" xfId="0" applyNumberFormat="1" applyFont="1" applyBorder="1" applyAlignment="1">
      <alignment horizontal="center" vertical="center" wrapText="1"/>
    </xf>
    <xf numFmtId="3" fontId="35" fillId="0" borderId="7" xfId="0" applyNumberFormat="1" applyFont="1" applyBorder="1" applyAlignment="1">
      <alignment horizontal="center" vertical="center" wrapText="1"/>
    </xf>
    <xf numFmtId="3" fontId="27" fillId="0" borderId="8" xfId="18" applyNumberFormat="1" applyFont="1" applyBorder="1" applyAlignment="1">
      <alignment horizontal="center" vertical="center" wrapText="1"/>
      <protection/>
    </xf>
    <xf numFmtId="3" fontId="27" fillId="0" borderId="2" xfId="18" applyNumberFormat="1" applyFont="1" applyBorder="1" applyAlignment="1">
      <alignment horizontal="center" vertical="center" wrapText="1"/>
      <protection/>
    </xf>
    <xf numFmtId="3" fontId="27" fillId="0" borderId="28" xfId="0" applyNumberFormat="1" applyFont="1" applyBorder="1" applyAlignment="1">
      <alignment horizontal="center" vertical="center" wrapText="1"/>
    </xf>
    <xf numFmtId="4" fontId="27" fillId="0" borderId="28" xfId="0" applyNumberFormat="1" applyFont="1" applyBorder="1" applyAlignment="1">
      <alignment horizontal="center" vertical="center" wrapText="1"/>
    </xf>
    <xf numFmtId="3" fontId="12" fillId="5" borderId="2" xfId="0" applyNumberFormat="1" applyFont="1" applyFill="1" applyBorder="1" applyAlignment="1">
      <alignment horizontal="center" vertical="center" wrapText="1"/>
    </xf>
    <xf numFmtId="3" fontId="42" fillId="0" borderId="4" xfId="0" applyNumberFormat="1" applyFont="1" applyBorder="1" applyAlignment="1">
      <alignment horizontal="center" vertical="center" wrapText="1" shrinkToFit="1"/>
    </xf>
    <xf numFmtId="3" fontId="35" fillId="0" borderId="17" xfId="0" applyNumberFormat="1" applyFont="1" applyBorder="1" applyAlignment="1">
      <alignment horizontal="center" vertical="center" wrapText="1"/>
    </xf>
    <xf numFmtId="3" fontId="35" fillId="0" borderId="5" xfId="0" applyNumberFormat="1" applyFont="1" applyBorder="1" applyAlignment="1">
      <alignment horizontal="center" vertical="center" wrapText="1"/>
    </xf>
    <xf numFmtId="3" fontId="12" fillId="5" borderId="5" xfId="0" applyNumberFormat="1" applyFont="1" applyFill="1" applyBorder="1" applyAlignment="1">
      <alignment horizontal="center" vertical="center" wrapText="1"/>
    </xf>
    <xf numFmtId="4" fontId="27" fillId="5" borderId="2" xfId="0" applyNumberFormat="1" applyFont="1" applyFill="1" applyBorder="1" applyAlignment="1">
      <alignment horizontal="center" vertical="center" wrapText="1"/>
    </xf>
    <xf numFmtId="4" fontId="27" fillId="5" borderId="8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4" fontId="17" fillId="2" borderId="2" xfId="0" applyNumberFormat="1" applyFont="1" applyFill="1" applyBorder="1" applyAlignment="1">
      <alignment horizontal="center" vertical="center" wrapText="1"/>
    </xf>
    <xf numFmtId="3" fontId="8" fillId="7" borderId="4" xfId="0" applyNumberFormat="1" applyFont="1" applyFill="1" applyBorder="1" applyAlignment="1">
      <alignment horizontal="center" vertical="center"/>
    </xf>
    <xf numFmtId="3" fontId="8" fillId="8" borderId="10" xfId="0" applyNumberFormat="1" applyFont="1" applyFill="1" applyBorder="1" applyAlignment="1">
      <alignment horizontal="center" vertical="center"/>
    </xf>
    <xf numFmtId="3" fontId="27" fillId="9" borderId="11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3" fontId="5" fillId="0" borderId="3" xfId="0" applyNumberFormat="1" applyFont="1" applyFill="1" applyBorder="1" applyAlignment="1">
      <alignment horizontal="center" vertical="center" wrapText="1"/>
    </xf>
    <xf numFmtId="3" fontId="27" fillId="10" borderId="11" xfId="0" applyNumberFormat="1" applyFont="1" applyFill="1" applyBorder="1" applyAlignment="1">
      <alignment horizontal="center" vertical="center" wrapText="1"/>
    </xf>
    <xf numFmtId="3" fontId="27" fillId="10" borderId="4" xfId="0" applyNumberFormat="1" applyFont="1" applyFill="1" applyBorder="1" applyAlignment="1">
      <alignment horizontal="center" vertical="center" wrapText="1"/>
    </xf>
    <xf numFmtId="4" fontId="27" fillId="10" borderId="4" xfId="0" applyNumberFormat="1" applyFont="1" applyFill="1" applyBorder="1" applyAlignment="1">
      <alignment horizontal="center" vertical="center" wrapText="1"/>
    </xf>
    <xf numFmtId="3" fontId="30" fillId="10" borderId="0" xfId="0" applyNumberFormat="1" applyFont="1" applyFill="1" applyAlignment="1">
      <alignment horizontal="center" vertical="center" wrapText="1"/>
    </xf>
    <xf numFmtId="4" fontId="27" fillId="10" borderId="10" xfId="0" applyNumberFormat="1" applyFont="1" applyFill="1" applyBorder="1" applyAlignment="1">
      <alignment horizontal="center" vertical="center" wrapText="1"/>
    </xf>
    <xf numFmtId="3" fontId="5" fillId="5" borderId="4" xfId="0" applyNumberFormat="1" applyFont="1" applyFill="1" applyBorder="1" applyAlignment="1">
      <alignment horizontal="center" vertical="center" wrapText="1"/>
    </xf>
    <xf numFmtId="4" fontId="11" fillId="5" borderId="3" xfId="0" applyNumberFormat="1" applyFont="1" applyFill="1" applyBorder="1" applyAlignment="1">
      <alignment horizontal="center" vertical="center" wrapText="1"/>
    </xf>
    <xf numFmtId="4" fontId="11" fillId="5" borderId="2" xfId="0" applyNumberFormat="1" applyFont="1" applyFill="1" applyBorder="1" applyAlignment="1">
      <alignment horizontal="center" vertical="center" wrapText="1"/>
    </xf>
    <xf numFmtId="4" fontId="11" fillId="5" borderId="5" xfId="0" applyNumberFormat="1" applyFont="1" applyFill="1" applyBorder="1" applyAlignment="1">
      <alignment horizontal="center" vertical="center" wrapText="1"/>
    </xf>
    <xf numFmtId="4" fontId="27" fillId="5" borderId="16" xfId="0" applyNumberFormat="1" applyFont="1" applyFill="1" applyBorder="1" applyAlignment="1">
      <alignment horizontal="center" vertical="center" wrapText="1"/>
    </xf>
    <xf numFmtId="4" fontId="11" fillId="5" borderId="19" xfId="0" applyNumberFormat="1" applyFont="1" applyFill="1" applyBorder="1" applyAlignment="1">
      <alignment horizontal="center" vertical="center" wrapText="1"/>
    </xf>
    <xf numFmtId="4" fontId="27" fillId="5" borderId="16" xfId="0" applyNumberFormat="1" applyFont="1" applyFill="1" applyBorder="1" applyAlignment="1">
      <alignment horizontal="center" vertical="center" wrapText="1"/>
    </xf>
    <xf numFmtId="4" fontId="35" fillId="5" borderId="3" xfId="0" applyNumberFormat="1" applyFont="1" applyFill="1" applyBorder="1" applyAlignment="1">
      <alignment horizontal="center" vertical="center" wrapText="1"/>
    </xf>
    <xf numFmtId="4" fontId="27" fillId="5" borderId="3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4" fontId="11" fillId="3" borderId="3" xfId="0" applyNumberFormat="1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 wrapText="1"/>
    </xf>
    <xf numFmtId="4" fontId="11" fillId="3" borderId="5" xfId="0" applyNumberFormat="1" applyFont="1" applyFill="1" applyBorder="1" applyAlignment="1">
      <alignment horizontal="center" vertical="center" wrapText="1"/>
    </xf>
    <xf numFmtId="4" fontId="27" fillId="3" borderId="16" xfId="0" applyNumberFormat="1" applyFont="1" applyFill="1" applyBorder="1" applyAlignment="1">
      <alignment horizontal="center" vertical="center" wrapText="1"/>
    </xf>
    <xf numFmtId="4" fontId="35" fillId="3" borderId="3" xfId="0" applyNumberFormat="1" applyFont="1" applyFill="1" applyBorder="1" applyAlignment="1">
      <alignment horizontal="center" vertical="center" wrapText="1"/>
    </xf>
    <xf numFmtId="4" fontId="27" fillId="3" borderId="3" xfId="0" applyNumberFormat="1" applyFont="1" applyFill="1" applyBorder="1" applyAlignment="1">
      <alignment horizontal="center" vertical="center" wrapText="1"/>
    </xf>
    <xf numFmtId="4" fontId="27" fillId="3" borderId="16" xfId="0" applyNumberFormat="1" applyFont="1" applyFill="1" applyBorder="1" applyAlignment="1">
      <alignment horizontal="center" vertical="center" wrapText="1"/>
    </xf>
    <xf numFmtId="3" fontId="5" fillId="3" borderId="10" xfId="0" applyNumberFormat="1" applyFont="1" applyFill="1" applyBorder="1" applyAlignment="1">
      <alignment horizontal="center" vertical="center" wrapText="1"/>
    </xf>
    <xf numFmtId="4" fontId="11" fillId="3" borderId="13" xfId="0" applyNumberFormat="1" applyFont="1" applyFill="1" applyBorder="1" applyAlignment="1">
      <alignment horizontal="center" vertical="center" wrapText="1"/>
    </xf>
    <xf numFmtId="4" fontId="11" fillId="3" borderId="6" xfId="0" applyNumberFormat="1" applyFont="1" applyFill="1" applyBorder="1" applyAlignment="1">
      <alignment horizontal="center" vertical="center" wrapText="1"/>
    </xf>
    <xf numFmtId="4" fontId="11" fillId="3" borderId="25" xfId="0" applyNumberFormat="1" applyFont="1" applyFill="1" applyBorder="1" applyAlignment="1">
      <alignment horizontal="center" vertical="center" wrapText="1"/>
    </xf>
    <xf numFmtId="4" fontId="27" fillId="3" borderId="26" xfId="0" applyNumberFormat="1" applyFont="1" applyFill="1" applyBorder="1" applyAlignment="1">
      <alignment horizontal="center" vertical="center" wrapText="1"/>
    </xf>
    <xf numFmtId="4" fontId="27" fillId="3" borderId="26" xfId="0" applyNumberFormat="1" applyFont="1" applyFill="1" applyBorder="1" applyAlignment="1">
      <alignment horizontal="center" vertical="center" wrapText="1"/>
    </xf>
    <xf numFmtId="4" fontId="35" fillId="3" borderId="13" xfId="0" applyNumberFormat="1" applyFont="1" applyFill="1" applyBorder="1" applyAlignment="1">
      <alignment horizontal="center" vertical="center" wrapText="1"/>
    </xf>
    <xf numFmtId="4" fontId="27" fillId="3" borderId="13" xfId="0" applyNumberFormat="1" applyFont="1" applyFill="1" applyBorder="1" applyAlignment="1">
      <alignment horizontal="center" vertical="center" wrapText="1"/>
    </xf>
    <xf numFmtId="3" fontId="5" fillId="8" borderId="4" xfId="0" applyNumberFormat="1" applyFont="1" applyFill="1" applyBorder="1" applyAlignment="1">
      <alignment horizontal="center" vertical="center" wrapText="1"/>
    </xf>
    <xf numFmtId="4" fontId="11" fillId="8" borderId="3" xfId="0" applyNumberFormat="1" applyFont="1" applyFill="1" applyBorder="1" applyAlignment="1">
      <alignment horizontal="center" vertical="center" wrapText="1"/>
    </xf>
    <xf numFmtId="4" fontId="12" fillId="8" borderId="3" xfId="0" applyNumberFormat="1" applyFont="1" applyFill="1" applyBorder="1" applyAlignment="1">
      <alignment horizontal="center" vertical="center" wrapText="1"/>
    </xf>
    <xf numFmtId="4" fontId="11" fillId="8" borderId="2" xfId="0" applyNumberFormat="1" applyFont="1" applyFill="1" applyBorder="1" applyAlignment="1">
      <alignment horizontal="center" vertical="center" wrapText="1"/>
    </xf>
    <xf numFmtId="4" fontId="11" fillId="8" borderId="5" xfId="0" applyNumberFormat="1" applyFont="1" applyFill="1" applyBorder="1" applyAlignment="1">
      <alignment horizontal="center" vertical="center" wrapText="1"/>
    </xf>
    <xf numFmtId="4" fontId="27" fillId="8" borderId="16" xfId="0" applyNumberFormat="1" applyFont="1" applyFill="1" applyBorder="1" applyAlignment="1">
      <alignment horizontal="center" vertical="center" wrapText="1"/>
    </xf>
    <xf numFmtId="4" fontId="5" fillId="8" borderId="5" xfId="0" applyNumberFormat="1" applyFont="1" applyFill="1" applyBorder="1" applyAlignment="1">
      <alignment horizontal="center" vertical="center" wrapText="1"/>
    </xf>
    <xf numFmtId="4" fontId="27" fillId="8" borderId="16" xfId="0" applyNumberFormat="1" applyFont="1" applyFill="1" applyBorder="1" applyAlignment="1">
      <alignment horizontal="center" vertical="center" wrapText="1"/>
    </xf>
    <xf numFmtId="4" fontId="5" fillId="8" borderId="2" xfId="0" applyNumberFormat="1" applyFont="1" applyFill="1" applyBorder="1" applyAlignment="1">
      <alignment horizontal="center" vertical="center" wrapText="1"/>
    </xf>
    <xf numFmtId="4" fontId="35" fillId="8" borderId="3" xfId="0" applyNumberFormat="1" applyFont="1" applyFill="1" applyBorder="1" applyAlignment="1">
      <alignment horizontal="center" vertical="center" wrapText="1"/>
    </xf>
    <xf numFmtId="4" fontId="27" fillId="8" borderId="3" xfId="0" applyNumberFormat="1" applyFont="1" applyFill="1" applyBorder="1" applyAlignment="1">
      <alignment horizontal="center" vertical="center" wrapText="1"/>
    </xf>
    <xf numFmtId="4" fontId="27" fillId="8" borderId="3" xfId="0" applyNumberFormat="1" applyFont="1" applyFill="1" applyBorder="1" applyAlignment="1">
      <alignment horizontal="center" vertical="center" wrapText="1"/>
    </xf>
    <xf numFmtId="4" fontId="12" fillId="8" borderId="5" xfId="0" applyNumberFormat="1" applyFont="1" applyFill="1" applyBorder="1" applyAlignment="1">
      <alignment horizontal="center" vertical="center" wrapText="1"/>
    </xf>
    <xf numFmtId="4" fontId="27" fillId="0" borderId="19" xfId="0" applyNumberFormat="1" applyFont="1" applyFill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 wrapText="1"/>
    </xf>
    <xf numFmtId="3" fontId="27" fillId="8" borderId="11" xfId="0" applyNumberFormat="1" applyFont="1" applyFill="1" applyBorder="1" applyAlignment="1">
      <alignment horizontal="center" vertical="center"/>
    </xf>
    <xf numFmtId="4" fontId="27" fillId="8" borderId="4" xfId="0" applyNumberFormat="1" applyFont="1" applyFill="1" applyBorder="1" applyAlignment="1">
      <alignment horizontal="center" vertical="center"/>
    </xf>
    <xf numFmtId="3" fontId="27" fillId="8" borderId="4" xfId="0" applyNumberFormat="1" applyFont="1" applyFill="1" applyBorder="1" applyAlignment="1">
      <alignment horizontal="center" vertical="center"/>
    </xf>
    <xf numFmtId="3" fontId="27" fillId="8" borderId="10" xfId="0" applyNumberFormat="1" applyFont="1" applyFill="1" applyBorder="1" applyAlignment="1">
      <alignment horizontal="center" vertical="center" wrapText="1"/>
    </xf>
    <xf numFmtId="3" fontId="27" fillId="11" borderId="19" xfId="0" applyNumberFormat="1" applyFont="1" applyFill="1" applyBorder="1" applyAlignment="1">
      <alignment horizontal="center" vertical="center" wrapText="1"/>
    </xf>
    <xf numFmtId="3" fontId="27" fillId="11" borderId="5" xfId="0" applyNumberFormat="1" applyFont="1" applyFill="1" applyBorder="1" applyAlignment="1">
      <alignment horizontal="center" vertical="center" wrapText="1"/>
    </xf>
    <xf numFmtId="3" fontId="35" fillId="0" borderId="8" xfId="0" applyNumberFormat="1" applyFont="1" applyFill="1" applyBorder="1" applyAlignment="1">
      <alignment horizontal="center" vertical="center" wrapText="1"/>
    </xf>
    <xf numFmtId="3" fontId="35" fillId="0" borderId="2" xfId="0" applyNumberFormat="1" applyFont="1" applyFill="1" applyBorder="1" applyAlignment="1">
      <alignment horizontal="center" vertical="center" wrapText="1"/>
    </xf>
    <xf numFmtId="3" fontId="27" fillId="8" borderId="4" xfId="0" applyNumberFormat="1" applyFont="1" applyFill="1" applyBorder="1" applyAlignment="1">
      <alignment horizontal="center" vertical="center"/>
    </xf>
    <xf numFmtId="3" fontId="35" fillId="11" borderId="8" xfId="0" applyNumberFormat="1" applyFont="1" applyFill="1" applyBorder="1" applyAlignment="1">
      <alignment horizontal="center" vertical="center"/>
    </xf>
    <xf numFmtId="3" fontId="35" fillId="0" borderId="8" xfId="0" applyNumberFormat="1" applyFont="1" applyFill="1" applyBorder="1" applyAlignment="1">
      <alignment horizontal="center" vertical="center"/>
    </xf>
    <xf numFmtId="3" fontId="35" fillId="11" borderId="2" xfId="0" applyNumberFormat="1" applyFont="1" applyFill="1" applyBorder="1" applyAlignment="1">
      <alignment horizontal="center" vertical="center" wrapText="1"/>
    </xf>
    <xf numFmtId="3" fontId="35" fillId="0" borderId="2" xfId="0" applyNumberFormat="1" applyFont="1" applyFill="1" applyBorder="1" applyAlignment="1">
      <alignment horizontal="center" vertical="center"/>
    </xf>
    <xf numFmtId="3" fontId="35" fillId="11" borderId="2" xfId="0" applyNumberFormat="1" applyFont="1" applyFill="1" applyBorder="1" applyAlignment="1">
      <alignment horizontal="center" vertical="center"/>
    </xf>
    <xf numFmtId="3" fontId="27" fillId="5" borderId="8" xfId="0" applyNumberFormat="1" applyFont="1" applyFill="1" applyBorder="1" applyAlignment="1">
      <alignment horizontal="center" vertical="center"/>
    </xf>
    <xf numFmtId="3" fontId="27" fillId="5" borderId="2" xfId="0" applyNumberFormat="1" applyFont="1" applyFill="1" applyBorder="1" applyAlignment="1">
      <alignment horizontal="center" vertical="center"/>
    </xf>
    <xf numFmtId="3" fontId="27" fillId="0" borderId="31" xfId="0" applyNumberFormat="1" applyFont="1" applyFill="1" applyBorder="1" applyAlignment="1">
      <alignment horizontal="center" vertical="center"/>
    </xf>
    <xf numFmtId="3" fontId="27" fillId="5" borderId="32" xfId="0" applyNumberFormat="1" applyFont="1" applyFill="1" applyBorder="1" applyAlignment="1">
      <alignment horizontal="center" vertical="center"/>
    </xf>
    <xf numFmtId="3" fontId="27" fillId="5" borderId="23" xfId="0" applyNumberFormat="1" applyFont="1" applyFill="1" applyBorder="1" applyAlignment="1">
      <alignment horizontal="center" vertical="center"/>
    </xf>
    <xf numFmtId="3" fontId="27" fillId="9" borderId="33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/>
    </xf>
    <xf numFmtId="4" fontId="8" fillId="11" borderId="2" xfId="0" applyNumberFormat="1" applyFont="1" applyFill="1" applyBorder="1" applyAlignment="1">
      <alignment horizontal="center" wrapText="1"/>
    </xf>
    <xf numFmtId="3" fontId="20" fillId="11" borderId="2" xfId="0" applyNumberFormat="1" applyFont="1" applyFill="1" applyBorder="1" applyAlignment="1">
      <alignment horizontal="center" vertical="center" wrapText="1"/>
    </xf>
    <xf numFmtId="4" fontId="8" fillId="11" borderId="5" xfId="0" applyNumberFormat="1" applyFont="1" applyFill="1" applyBorder="1" applyAlignment="1">
      <alignment horizontal="center" wrapText="1"/>
    </xf>
    <xf numFmtId="4" fontId="8" fillId="12" borderId="5" xfId="0" applyNumberFormat="1" applyFont="1" applyFill="1" applyBorder="1" applyAlignment="1">
      <alignment horizontal="center" wrapText="1"/>
    </xf>
    <xf numFmtId="3" fontId="5" fillId="0" borderId="8" xfId="0" applyNumberFormat="1" applyFont="1" applyFill="1" applyBorder="1" applyAlignment="1">
      <alignment horizontal="center" vertical="center" textRotation="90" wrapText="1"/>
    </xf>
    <xf numFmtId="3" fontId="5" fillId="0" borderId="8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7" fillId="9" borderId="2" xfId="0" applyNumberFormat="1" applyFont="1" applyFill="1" applyBorder="1" applyAlignment="1">
      <alignment horizontal="center" vertical="center" wrapText="1"/>
    </xf>
    <xf numFmtId="4" fontId="7" fillId="13" borderId="2" xfId="0" applyNumberFormat="1" applyFont="1" applyFill="1" applyBorder="1" applyAlignment="1">
      <alignment horizontal="center" vertical="center" wrapText="1"/>
    </xf>
    <xf numFmtId="4" fontId="27" fillId="9" borderId="4" xfId="0" applyNumberFormat="1" applyFont="1" applyFill="1" applyBorder="1" applyAlignment="1">
      <alignment horizontal="center" vertical="center" wrapText="1"/>
    </xf>
    <xf numFmtId="4" fontId="27" fillId="9" borderId="10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3" fontId="27" fillId="2" borderId="4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3" fontId="8" fillId="11" borderId="2" xfId="0" applyNumberFormat="1" applyFont="1" applyFill="1" applyBorder="1" applyAlignment="1">
      <alignment horizontal="center" vertical="center" wrapText="1"/>
    </xf>
    <xf numFmtId="1" fontId="8" fillId="11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3" fontId="8" fillId="11" borderId="5" xfId="0" applyNumberFormat="1" applyFont="1" applyFill="1" applyBorder="1" applyAlignment="1">
      <alignment horizontal="center" vertical="center" wrapText="1"/>
    </xf>
    <xf numFmtId="1" fontId="8" fillId="11" borderId="5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" fontId="8" fillId="0" borderId="25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1" fontId="55" fillId="0" borderId="0" xfId="0" applyNumberFormat="1" applyFont="1" applyAlignment="1">
      <alignment horizontal="center" vertical="center" wrapText="1"/>
    </xf>
    <xf numFmtId="0" fontId="55" fillId="0" borderId="2" xfId="0" applyFont="1" applyBorder="1" applyAlignment="1">
      <alignment horizontal="left" vertical="center" wrapText="1"/>
    </xf>
    <xf numFmtId="0" fontId="54" fillId="0" borderId="2" xfId="0" applyFont="1" applyBorder="1" applyAlignment="1">
      <alignment horizontal="left" vertical="center" wrapText="1"/>
    </xf>
    <xf numFmtId="0" fontId="55" fillId="14" borderId="2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5" fillId="0" borderId="3" xfId="0" applyFont="1" applyBorder="1" applyAlignment="1">
      <alignment horizontal="center" vertical="center" wrapText="1"/>
    </xf>
    <xf numFmtId="3" fontId="29" fillId="0" borderId="9" xfId="0" applyNumberFormat="1" applyFont="1" applyBorder="1" applyAlignment="1">
      <alignment horizontal="center" vertical="center" wrapText="1"/>
    </xf>
    <xf numFmtId="4" fontId="8" fillId="11" borderId="3" xfId="0" applyNumberFormat="1" applyFont="1" applyFill="1" applyBorder="1" applyAlignment="1">
      <alignment horizontal="center" wrapText="1"/>
    </xf>
    <xf numFmtId="0" fontId="8" fillId="11" borderId="8" xfId="0" applyFont="1" applyFill="1" applyBorder="1" applyAlignment="1">
      <alignment horizontal="center" vertical="center" wrapText="1"/>
    </xf>
    <xf numFmtId="1" fontId="8" fillId="11" borderId="8" xfId="0" applyNumberFormat="1" applyFont="1" applyFill="1" applyBorder="1" applyAlignment="1">
      <alignment horizontal="center" vertical="center" wrapText="1"/>
    </xf>
    <xf numFmtId="3" fontId="8" fillId="11" borderId="8" xfId="0" applyNumberFormat="1" applyFont="1" applyFill="1" applyBorder="1" applyAlignment="1">
      <alignment horizontal="center" vertical="center" wrapText="1"/>
    </xf>
    <xf numFmtId="1" fontId="11" fillId="0" borderId="8" xfId="0" applyNumberFormat="1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3" fontId="55" fillId="0" borderId="6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9" fontId="55" fillId="0" borderId="6" xfId="20" applyFont="1" applyBorder="1" applyAlignment="1">
      <alignment horizontal="center" vertical="center" wrapText="1"/>
    </xf>
    <xf numFmtId="3" fontId="54" fillId="0" borderId="6" xfId="0" applyNumberFormat="1" applyFont="1" applyBorder="1" applyAlignment="1">
      <alignment horizontal="center" vertical="center" wrapText="1"/>
    </xf>
    <xf numFmtId="3" fontId="55" fillId="14" borderId="6" xfId="0" applyNumberFormat="1" applyFont="1" applyFill="1" applyBorder="1" applyAlignment="1">
      <alignment horizontal="center" vertical="center" wrapText="1"/>
    </xf>
    <xf numFmtId="3" fontId="54" fillId="0" borderId="13" xfId="0" applyNumberFormat="1" applyFont="1" applyBorder="1" applyAlignment="1">
      <alignment horizontal="center" vertical="center" wrapText="1"/>
    </xf>
    <xf numFmtId="4" fontId="54" fillId="0" borderId="6" xfId="0" applyNumberFormat="1" applyFont="1" applyBorder="1" applyAlignment="1">
      <alignment horizontal="center" vertical="center" wrapText="1"/>
    </xf>
    <xf numFmtId="0" fontId="54" fillId="0" borderId="6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4" fillId="0" borderId="4" xfId="0" applyFont="1" applyBorder="1" applyAlignment="1">
      <alignment horizontal="left" vertical="center" wrapText="1"/>
    </xf>
    <xf numFmtId="0" fontId="54" fillId="0" borderId="4" xfId="0" applyFont="1" applyBorder="1" applyAlignment="1">
      <alignment horizontal="center" vertical="center" wrapText="1"/>
    </xf>
    <xf numFmtId="1" fontId="54" fillId="0" borderId="10" xfId="0" applyNumberFormat="1" applyFont="1" applyBorder="1" applyAlignment="1">
      <alignment horizontal="center" vertical="center" wrapText="1"/>
    </xf>
    <xf numFmtId="0" fontId="54" fillId="0" borderId="3" xfId="0" applyFont="1" applyBorder="1" applyAlignment="1">
      <alignment horizontal="left" vertical="center" wrapText="1"/>
    </xf>
    <xf numFmtId="3" fontId="55" fillId="0" borderId="13" xfId="0" applyNumberFormat="1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3" fontId="35" fillId="0" borderId="16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3" fontId="39" fillId="0" borderId="0" xfId="0" applyNumberFormat="1" applyFont="1" applyBorder="1" applyAlignment="1">
      <alignment horizontal="center" vertical="center" wrapText="1"/>
    </xf>
    <xf numFmtId="9" fontId="27" fillId="0" borderId="0" xfId="20" applyFont="1" applyFill="1" applyBorder="1" applyAlignment="1">
      <alignment horizontal="center" vertical="center" wrapText="1"/>
    </xf>
    <xf numFmtId="9" fontId="27" fillId="0" borderId="0" xfId="20" applyFont="1" applyFill="1" applyAlignment="1">
      <alignment horizontal="center" vertical="center" wrapText="1"/>
    </xf>
    <xf numFmtId="0" fontId="35" fillId="0" borderId="0" xfId="0" applyFont="1" applyAlignment="1">
      <alignment/>
    </xf>
    <xf numFmtId="4" fontId="27" fillId="0" borderId="2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58" fillId="0" borderId="1" xfId="0" applyNumberFormat="1" applyFont="1" applyBorder="1" applyAlignment="1">
      <alignment horizontal="center" vertical="center" wrapText="1"/>
    </xf>
    <xf numFmtId="3" fontId="58" fillId="0" borderId="2" xfId="0" applyNumberFormat="1" applyFont="1" applyBorder="1" applyAlignment="1">
      <alignment horizontal="center" vertical="center" wrapText="1"/>
    </xf>
    <xf numFmtId="3" fontId="58" fillId="0" borderId="6" xfId="0" applyNumberFormat="1" applyFont="1" applyBorder="1" applyAlignment="1">
      <alignment horizontal="center" vertical="center" wrapText="1"/>
    </xf>
    <xf numFmtId="3" fontId="58" fillId="0" borderId="0" xfId="0" applyNumberFormat="1" applyFont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3" fontId="59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3" fontId="59" fillId="0" borderId="2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62" fillId="0" borderId="2" xfId="0" applyNumberFormat="1" applyFont="1" applyBorder="1" applyAlignment="1">
      <alignment horizontal="center" vertical="center" wrapText="1"/>
    </xf>
    <xf numFmtId="3" fontId="62" fillId="0" borderId="2" xfId="0" applyNumberFormat="1" applyFont="1" applyFill="1" applyBorder="1" applyAlignment="1">
      <alignment horizontal="center" vertical="center" wrapText="1"/>
    </xf>
    <xf numFmtId="3" fontId="63" fillId="0" borderId="2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3" fontId="64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65" fillId="0" borderId="2" xfId="0" applyNumberFormat="1" applyFont="1" applyFill="1" applyBorder="1" applyAlignment="1">
      <alignment horizontal="center" vertical="center" wrapText="1"/>
    </xf>
    <xf numFmtId="4" fontId="65" fillId="0" borderId="2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5" fillId="15" borderId="1" xfId="0" applyNumberFormat="1" applyFont="1" applyFill="1" applyBorder="1" applyAlignment="1">
      <alignment horizontal="center" vertical="center" wrapText="1"/>
    </xf>
    <xf numFmtId="3" fontId="5" fillId="15" borderId="2" xfId="0" applyNumberFormat="1" applyFont="1" applyFill="1" applyBorder="1" applyAlignment="1">
      <alignment horizontal="center" vertical="center" wrapText="1"/>
    </xf>
    <xf numFmtId="3" fontId="64" fillId="15" borderId="2" xfId="0" applyNumberFormat="1" applyFont="1" applyFill="1" applyBorder="1" applyAlignment="1">
      <alignment horizontal="center" vertical="center" wrapText="1"/>
    </xf>
    <xf numFmtId="4" fontId="5" fillId="15" borderId="2" xfId="0" applyNumberFormat="1" applyFont="1" applyFill="1" applyBorder="1" applyAlignment="1">
      <alignment horizontal="center" vertical="center" wrapText="1"/>
    </xf>
    <xf numFmtId="3" fontId="5" fillId="15" borderId="6" xfId="0" applyNumberFormat="1" applyFont="1" applyFill="1" applyBorder="1" applyAlignment="1">
      <alignment horizontal="center" vertical="center" wrapText="1"/>
    </xf>
    <xf numFmtId="3" fontId="64" fillId="3" borderId="2" xfId="0" applyNumberFormat="1" applyFont="1" applyFill="1" applyBorder="1" applyAlignment="1">
      <alignment horizontal="center" vertical="center" wrapText="1"/>
    </xf>
    <xf numFmtId="3" fontId="64" fillId="0" borderId="2" xfId="0" applyNumberFormat="1" applyFont="1" applyFill="1" applyBorder="1" applyAlignment="1">
      <alignment horizontal="center" vertical="center" wrapText="1"/>
    </xf>
    <xf numFmtId="3" fontId="64" fillId="2" borderId="2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>
      <alignment horizontal="center" vertical="center" wrapText="1"/>
    </xf>
    <xf numFmtId="3" fontId="34" fillId="3" borderId="2" xfId="0" applyNumberFormat="1" applyFont="1" applyFill="1" applyBorder="1" applyAlignment="1">
      <alignment horizontal="center" vertical="center" wrapText="1"/>
    </xf>
    <xf numFmtId="3" fontId="34" fillId="0" borderId="2" xfId="0" applyNumberFormat="1" applyFont="1" applyBorder="1" applyAlignment="1">
      <alignment horizontal="center" vertical="center" wrapText="1"/>
    </xf>
    <xf numFmtId="4" fontId="65" fillId="0" borderId="2" xfId="0" applyNumberFormat="1" applyFont="1" applyBorder="1" applyAlignment="1">
      <alignment horizontal="center" vertical="center" wrapText="1"/>
    </xf>
    <xf numFmtId="3" fontId="65" fillId="0" borderId="2" xfId="0" applyNumberFormat="1" applyFont="1" applyBorder="1" applyAlignment="1">
      <alignment horizontal="center" vertical="center" wrapText="1"/>
    </xf>
    <xf numFmtId="3" fontId="5" fillId="7" borderId="11" xfId="0" applyNumberFormat="1" applyFont="1" applyFill="1" applyBorder="1" applyAlignment="1">
      <alignment horizontal="center" vertical="center" wrapText="1"/>
    </xf>
    <xf numFmtId="3" fontId="5" fillId="7" borderId="4" xfId="0" applyNumberFormat="1" applyFont="1" applyFill="1" applyBorder="1" applyAlignment="1">
      <alignment horizontal="center" vertical="center" wrapText="1"/>
    </xf>
    <xf numFmtId="4" fontId="5" fillId="7" borderId="4" xfId="0" applyNumberFormat="1" applyFont="1" applyFill="1" applyBorder="1" applyAlignment="1">
      <alignment horizontal="center" vertical="center" wrapText="1"/>
    </xf>
    <xf numFmtId="3" fontId="5" fillId="7" borderId="10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horizontal="center"/>
    </xf>
    <xf numFmtId="0" fontId="66" fillId="0" borderId="4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7" fillId="0" borderId="0" xfId="0" applyFont="1" applyAlignment="1">
      <alignment/>
    </xf>
    <xf numFmtId="0" fontId="68" fillId="0" borderId="7" xfId="0" applyFont="1" applyBorder="1" applyAlignment="1">
      <alignment horizontal="center"/>
    </xf>
    <xf numFmtId="0" fontId="68" fillId="0" borderId="8" xfId="0" applyFont="1" applyBorder="1" applyAlignment="1">
      <alignment horizontal="center"/>
    </xf>
    <xf numFmtId="0" fontId="68" fillId="0" borderId="9" xfId="0" applyFont="1" applyBorder="1" applyAlignment="1">
      <alignment horizontal="center"/>
    </xf>
    <xf numFmtId="0" fontId="61" fillId="0" borderId="0" xfId="0" applyFont="1" applyAlignment="1">
      <alignment/>
    </xf>
    <xf numFmtId="0" fontId="70" fillId="0" borderId="8" xfId="0" applyFont="1" applyBorder="1" applyAlignment="1">
      <alignment horizontal="center"/>
    </xf>
    <xf numFmtId="2" fontId="70" fillId="0" borderId="8" xfId="0" applyNumberFormat="1" applyFont="1" applyBorder="1" applyAlignment="1">
      <alignment horizontal="center"/>
    </xf>
    <xf numFmtId="2" fontId="68" fillId="0" borderId="8" xfId="0" applyNumberFormat="1" applyFont="1" applyBorder="1" applyAlignment="1">
      <alignment horizontal="center"/>
    </xf>
    <xf numFmtId="2" fontId="68" fillId="0" borderId="9" xfId="0" applyNumberFormat="1" applyFont="1" applyBorder="1" applyAlignment="1">
      <alignment horizontal="center"/>
    </xf>
    <xf numFmtId="0" fontId="70" fillId="0" borderId="2" xfId="0" applyFont="1" applyBorder="1" applyAlignment="1">
      <alignment horizontal="center"/>
    </xf>
    <xf numFmtId="2" fontId="70" fillId="0" borderId="2" xfId="0" applyNumberFormat="1" applyFont="1" applyBorder="1" applyAlignment="1">
      <alignment horizontal="center"/>
    </xf>
    <xf numFmtId="2" fontId="68" fillId="0" borderId="2" xfId="0" applyNumberFormat="1" applyFont="1" applyBorder="1" applyAlignment="1">
      <alignment horizontal="center"/>
    </xf>
    <xf numFmtId="2" fontId="68" fillId="0" borderId="6" xfId="0" applyNumberFormat="1" applyFont="1" applyBorder="1" applyAlignment="1">
      <alignment horizontal="center"/>
    </xf>
    <xf numFmtId="0" fontId="68" fillId="0" borderId="4" xfId="0" applyFont="1" applyBorder="1" applyAlignment="1">
      <alignment horizontal="center"/>
    </xf>
    <xf numFmtId="2" fontId="68" fillId="0" borderId="4" xfId="0" applyNumberFormat="1" applyFont="1" applyBorder="1" applyAlignment="1">
      <alignment horizontal="center"/>
    </xf>
    <xf numFmtId="2" fontId="68" fillId="0" borderId="10" xfId="0" applyNumberFormat="1" applyFont="1" applyBorder="1" applyAlignment="1">
      <alignment horizontal="center"/>
    </xf>
    <xf numFmtId="0" fontId="68" fillId="0" borderId="7" xfId="0" applyFont="1" applyBorder="1" applyAlignment="1">
      <alignment/>
    </xf>
    <xf numFmtId="0" fontId="68" fillId="0" borderId="1" xfId="0" applyFont="1" applyBorder="1" applyAlignment="1">
      <alignment/>
    </xf>
    <xf numFmtId="0" fontId="68" fillId="0" borderId="11" xfId="0" applyFont="1" applyBorder="1" applyAlignment="1">
      <alignment horizontal="left"/>
    </xf>
    <xf numFmtId="0" fontId="57" fillId="0" borderId="0" xfId="0" applyFont="1" applyAlignment="1">
      <alignment/>
    </xf>
    <xf numFmtId="0" fontId="71" fillId="0" borderId="0" xfId="0" applyFont="1" applyAlignment="1">
      <alignment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72" fillId="0" borderId="4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 wrapText="1"/>
    </xf>
    <xf numFmtId="177" fontId="34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77" fontId="73" fillId="0" borderId="3" xfId="0" applyNumberFormat="1" applyFont="1" applyFill="1" applyBorder="1" applyAlignment="1">
      <alignment horizontal="center" vertical="center" wrapText="1"/>
    </xf>
    <xf numFmtId="3" fontId="35" fillId="0" borderId="3" xfId="0" applyNumberFormat="1" applyFont="1" applyFill="1" applyBorder="1" applyAlignment="1">
      <alignment horizontal="center" vertical="center"/>
    </xf>
    <xf numFmtId="3" fontId="27" fillId="0" borderId="3" xfId="0" applyNumberFormat="1" applyFont="1" applyFill="1" applyBorder="1" applyAlignment="1">
      <alignment horizontal="center" vertical="center"/>
    </xf>
    <xf numFmtId="4" fontId="27" fillId="0" borderId="3" xfId="0" applyNumberFormat="1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3" fontId="27" fillId="0" borderId="13" xfId="0" applyNumberFormat="1" applyFont="1" applyFill="1" applyBorder="1" applyAlignment="1">
      <alignment horizontal="center" vertical="center"/>
    </xf>
    <xf numFmtId="4" fontId="27" fillId="0" borderId="2" xfId="0" applyNumberFormat="1" applyFont="1" applyFill="1" applyBorder="1" applyAlignment="1">
      <alignment horizontal="center" vertical="center" wrapText="1"/>
    </xf>
    <xf numFmtId="177" fontId="73" fillId="0" borderId="2" xfId="0" applyNumberFormat="1" applyFont="1" applyFill="1" applyBorder="1" applyAlignment="1">
      <alignment horizontal="center" vertical="center" wrapText="1"/>
    </xf>
    <xf numFmtId="3" fontId="27" fillId="0" borderId="2" xfId="0" applyNumberFormat="1" applyFont="1" applyFill="1" applyBorder="1" applyAlignment="1">
      <alignment horizontal="center" vertical="center"/>
    </xf>
    <xf numFmtId="4" fontId="27" fillId="0" borderId="2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3" fontId="30" fillId="0" borderId="6" xfId="0" applyNumberFormat="1" applyFont="1" applyFill="1" applyBorder="1" applyAlignment="1">
      <alignment horizontal="center" vertical="center"/>
    </xf>
    <xf numFmtId="3" fontId="27" fillId="0" borderId="6" xfId="0" applyNumberFormat="1" applyFont="1" applyFill="1" applyBorder="1" applyAlignment="1">
      <alignment horizontal="center" vertical="center"/>
    </xf>
    <xf numFmtId="4" fontId="27" fillId="2" borderId="2" xfId="0" applyNumberFormat="1" applyFont="1" applyFill="1" applyBorder="1" applyAlignment="1">
      <alignment horizontal="center" vertical="center" wrapText="1"/>
    </xf>
    <xf numFmtId="177" fontId="73" fillId="2" borderId="2" xfId="0" applyNumberFormat="1" applyFont="1" applyFill="1" applyBorder="1" applyAlignment="1">
      <alignment horizontal="center" vertical="center" wrapText="1"/>
    </xf>
    <xf numFmtId="3" fontId="35" fillId="2" borderId="2" xfId="0" applyNumberFormat="1" applyFont="1" applyFill="1" applyBorder="1" applyAlignment="1">
      <alignment horizontal="center" vertical="center"/>
    </xf>
    <xf numFmtId="3" fontId="27" fillId="2" borderId="2" xfId="0" applyNumberFormat="1" applyFont="1" applyFill="1" applyBorder="1" applyAlignment="1">
      <alignment horizontal="center" vertical="center"/>
    </xf>
    <xf numFmtId="3" fontId="74" fillId="2" borderId="2" xfId="0" applyNumberFormat="1" applyFont="1" applyFill="1" applyBorder="1" applyAlignment="1">
      <alignment horizontal="center" vertical="center" wrapText="1"/>
    </xf>
    <xf numFmtId="4" fontId="27" fillId="2" borderId="2" xfId="0" applyNumberFormat="1" applyFont="1" applyFill="1" applyBorder="1" applyAlignment="1">
      <alignment horizontal="center" vertical="center"/>
    </xf>
    <xf numFmtId="3" fontId="27" fillId="2" borderId="6" xfId="0" applyNumberFormat="1" applyFont="1" applyFill="1" applyBorder="1" applyAlignment="1">
      <alignment horizontal="center" vertical="center"/>
    </xf>
    <xf numFmtId="3" fontId="74" fillId="0" borderId="2" xfId="0" applyNumberFormat="1" applyFont="1" applyFill="1" applyBorder="1" applyAlignment="1">
      <alignment horizontal="center" vertical="center" wrapText="1"/>
    </xf>
    <xf numFmtId="3" fontId="75" fillId="0" borderId="2" xfId="0" applyNumberFormat="1" applyFont="1" applyFill="1" applyBorder="1" applyAlignment="1">
      <alignment horizontal="center" vertical="center" wrapText="1"/>
    </xf>
    <xf numFmtId="4" fontId="32" fillId="4" borderId="2" xfId="0" applyNumberFormat="1" applyFont="1" applyFill="1" applyBorder="1" applyAlignment="1">
      <alignment horizontal="center" vertical="center" wrapText="1"/>
    </xf>
    <xf numFmtId="177" fontId="73" fillId="4" borderId="2" xfId="0" applyNumberFormat="1" applyFont="1" applyFill="1" applyBorder="1" applyAlignment="1">
      <alignment horizontal="center" vertical="center" wrapText="1"/>
    </xf>
    <xf numFmtId="3" fontId="74" fillId="4" borderId="2" xfId="0" applyNumberFormat="1" applyFont="1" applyFill="1" applyBorder="1" applyAlignment="1">
      <alignment horizontal="center" vertical="center"/>
    </xf>
    <xf numFmtId="3" fontId="27" fillId="4" borderId="2" xfId="0" applyNumberFormat="1" applyFont="1" applyFill="1" applyBorder="1" applyAlignment="1">
      <alignment horizontal="center" vertical="center"/>
    </xf>
    <xf numFmtId="3" fontId="35" fillId="4" borderId="2" xfId="0" applyNumberFormat="1" applyFont="1" applyFill="1" applyBorder="1" applyAlignment="1">
      <alignment horizontal="center" vertical="center" wrapText="1"/>
    </xf>
    <xf numFmtId="177" fontId="27" fillId="4" borderId="2" xfId="0" applyNumberFormat="1" applyFont="1" applyFill="1" applyBorder="1" applyAlignment="1">
      <alignment horizontal="center" vertical="center"/>
    </xf>
    <xf numFmtId="177" fontId="27" fillId="4" borderId="6" xfId="0" applyNumberFormat="1" applyFont="1" applyFill="1" applyBorder="1" applyAlignment="1">
      <alignment horizontal="center" vertical="center"/>
    </xf>
    <xf numFmtId="4" fontId="32" fillId="0" borderId="2" xfId="0" applyNumberFormat="1" applyFont="1" applyFill="1" applyBorder="1" applyAlignment="1">
      <alignment horizontal="center" vertical="center" wrapText="1"/>
    </xf>
    <xf numFmtId="3" fontId="74" fillId="0" borderId="2" xfId="0" applyNumberFormat="1" applyFont="1" applyFill="1" applyBorder="1" applyAlignment="1">
      <alignment horizontal="center" vertical="center"/>
    </xf>
    <xf numFmtId="3" fontId="73" fillId="0" borderId="2" xfId="0" applyNumberFormat="1" applyFont="1" applyFill="1" applyBorder="1" applyAlignment="1">
      <alignment horizontal="center" vertical="center"/>
    </xf>
    <xf numFmtId="177" fontId="27" fillId="0" borderId="2" xfId="0" applyNumberFormat="1" applyFont="1" applyFill="1" applyBorder="1" applyAlignment="1">
      <alignment horizontal="center" vertical="center"/>
    </xf>
    <xf numFmtId="3" fontId="27" fillId="0" borderId="6" xfId="0" applyNumberFormat="1" applyFont="1" applyFill="1" applyBorder="1" applyAlignment="1">
      <alignment horizontal="center" vertical="center" wrapText="1"/>
    </xf>
    <xf numFmtId="4" fontId="35" fillId="0" borderId="2" xfId="0" applyNumberFormat="1" applyFont="1" applyFill="1" applyBorder="1" applyAlignment="1">
      <alignment horizontal="center" vertical="center" wrapText="1"/>
    </xf>
    <xf numFmtId="177" fontId="35" fillId="0" borderId="2" xfId="0" applyNumberFormat="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3" fontId="35" fillId="0" borderId="6" xfId="0" applyNumberFormat="1" applyFont="1" applyFill="1" applyBorder="1" applyAlignment="1">
      <alignment horizontal="center" vertical="center" wrapText="1"/>
    </xf>
    <xf numFmtId="4" fontId="35" fillId="0" borderId="4" xfId="0" applyNumberFormat="1" applyFont="1" applyFill="1" applyBorder="1" applyAlignment="1">
      <alignment horizontal="center" vertical="center"/>
    </xf>
    <xf numFmtId="178" fontId="35" fillId="0" borderId="4" xfId="0" applyNumberFormat="1" applyFont="1" applyFill="1" applyBorder="1" applyAlignment="1">
      <alignment horizontal="center" vertical="center"/>
    </xf>
    <xf numFmtId="177" fontId="35" fillId="0" borderId="4" xfId="0" applyNumberFormat="1" applyFont="1" applyFill="1" applyBorder="1" applyAlignment="1">
      <alignment horizontal="center" vertical="center"/>
    </xf>
    <xf numFmtId="3" fontId="35" fillId="0" borderId="4" xfId="0" applyNumberFormat="1" applyFont="1" applyFill="1" applyBorder="1" applyAlignment="1">
      <alignment horizontal="center" vertical="center"/>
    </xf>
    <xf numFmtId="3" fontId="35" fillId="0" borderId="4" xfId="0" applyNumberFormat="1" applyFont="1" applyFill="1" applyBorder="1" applyAlignment="1">
      <alignment horizontal="center" vertical="center" wrapText="1"/>
    </xf>
    <xf numFmtId="3" fontId="27" fillId="0" borderId="4" xfId="0" applyNumberFormat="1" applyFont="1" applyFill="1" applyBorder="1" applyAlignment="1">
      <alignment horizontal="center" vertical="center"/>
    </xf>
    <xf numFmtId="2" fontId="35" fillId="0" borderId="4" xfId="0" applyNumberFormat="1" applyFont="1" applyFill="1" applyBorder="1" applyAlignment="1">
      <alignment horizontal="center" vertical="center" wrapText="1"/>
    </xf>
    <xf numFmtId="3" fontId="35" fillId="0" borderId="10" xfId="0" applyNumberFormat="1" applyFont="1" applyFill="1" applyBorder="1" applyAlignment="1">
      <alignment horizontal="center" vertical="center"/>
    </xf>
    <xf numFmtId="4" fontId="27" fillId="0" borderId="24" xfId="0" applyNumberFormat="1" applyFont="1" applyBorder="1" applyAlignment="1">
      <alignment horizontal="center" vertical="center" wrapText="1"/>
    </xf>
    <xf numFmtId="4" fontId="27" fillId="0" borderId="34" xfId="0" applyNumberFormat="1" applyFont="1" applyBorder="1" applyAlignment="1">
      <alignment horizontal="center" vertical="center" wrapText="1"/>
    </xf>
    <xf numFmtId="4" fontId="27" fillId="0" borderId="24" xfId="0" applyNumberFormat="1" applyFont="1" applyBorder="1" applyAlignment="1">
      <alignment horizontal="center" vertical="center" wrapText="1"/>
    </xf>
    <xf numFmtId="0" fontId="69" fillId="0" borderId="35" xfId="0" applyFont="1" applyBorder="1" applyAlignment="1">
      <alignment horizontal="left" vertical="center"/>
    </xf>
    <xf numFmtId="4" fontId="5" fillId="8" borderId="5" xfId="0" applyNumberFormat="1" applyFont="1" applyFill="1" applyBorder="1" applyAlignment="1">
      <alignment horizontal="center" vertical="center" wrapText="1"/>
    </xf>
    <xf numFmtId="4" fontId="76" fillId="0" borderId="3" xfId="0" applyNumberFormat="1" applyFont="1" applyBorder="1" applyAlignment="1">
      <alignment horizontal="center" vertical="center" wrapText="1" shrinkToFit="1"/>
    </xf>
    <xf numFmtId="4" fontId="76" fillId="0" borderId="2" xfId="0" applyNumberFormat="1" applyFont="1" applyBorder="1" applyAlignment="1">
      <alignment horizontal="center" vertical="center" wrapText="1" shrinkToFit="1"/>
    </xf>
    <xf numFmtId="4" fontId="77" fillId="0" borderId="2" xfId="0" applyNumberFormat="1" applyFont="1" applyBorder="1" applyAlignment="1">
      <alignment horizontal="center" vertical="center" wrapText="1" shrinkToFit="1"/>
    </xf>
    <xf numFmtId="4" fontId="76" fillId="0" borderId="2" xfId="0" applyNumberFormat="1" applyFont="1" applyFill="1" applyBorder="1" applyAlignment="1">
      <alignment horizontal="center" vertical="center" wrapText="1" shrinkToFit="1"/>
    </xf>
    <xf numFmtId="4" fontId="78" fillId="9" borderId="4" xfId="0" applyNumberFormat="1" applyFont="1" applyFill="1" applyBorder="1" applyAlignment="1">
      <alignment horizontal="center" vertical="center" wrapText="1"/>
    </xf>
    <xf numFmtId="3" fontId="78" fillId="9" borderId="15" xfId="0" applyNumberFormat="1" applyFont="1" applyFill="1" applyBorder="1" applyAlignment="1">
      <alignment horizontal="center" vertical="center" wrapText="1"/>
    </xf>
    <xf numFmtId="3" fontId="78" fillId="9" borderId="4" xfId="0" applyNumberFormat="1" applyFont="1" applyFill="1" applyBorder="1" applyAlignment="1">
      <alignment horizontal="center" vertical="center" wrapText="1"/>
    </xf>
    <xf numFmtId="3" fontId="78" fillId="9" borderId="10" xfId="0" applyNumberFormat="1" applyFont="1" applyFill="1" applyBorder="1" applyAlignment="1">
      <alignment horizontal="center" vertical="center" wrapText="1"/>
    </xf>
    <xf numFmtId="3" fontId="78" fillId="9" borderId="21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22" fillId="0" borderId="2" xfId="0" applyNumberFormat="1" applyFont="1" applyFill="1" applyBorder="1" applyAlignment="1">
      <alignment horizontal="center" vertical="center" wrapText="1"/>
    </xf>
    <xf numFmtId="4" fontId="27" fillId="0" borderId="8" xfId="0" applyNumberFormat="1" applyFont="1" applyBorder="1" applyAlignment="1">
      <alignment horizontal="center" vertical="center" wrapText="1"/>
    </xf>
    <xf numFmtId="4" fontId="27" fillId="0" borderId="9" xfId="0" applyNumberFormat="1" applyFont="1" applyBorder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 wrapText="1"/>
    </xf>
    <xf numFmtId="4" fontId="22" fillId="0" borderId="6" xfId="0" applyNumberFormat="1" applyFont="1" applyBorder="1" applyAlignment="1">
      <alignment horizontal="center" vertical="center" wrapText="1"/>
    </xf>
    <xf numFmtId="3" fontId="27" fillId="0" borderId="7" xfId="0" applyNumberFormat="1" applyFont="1" applyBorder="1" applyAlignment="1">
      <alignment horizontal="center" vertical="center" wrapText="1"/>
    </xf>
    <xf numFmtId="3" fontId="27" fillId="0" borderId="1" xfId="0" applyNumberFormat="1" applyFont="1" applyBorder="1" applyAlignment="1">
      <alignment horizontal="center" vertical="center" wrapText="1"/>
    </xf>
    <xf numFmtId="3" fontId="27" fillId="0" borderId="11" xfId="0" applyNumberFormat="1" applyFont="1" applyBorder="1" applyAlignment="1">
      <alignment horizontal="center" vertical="center" wrapText="1"/>
    </xf>
    <xf numFmtId="4" fontId="76" fillId="0" borderId="0" xfId="0" applyNumberFormat="1" applyFont="1" applyAlignment="1">
      <alignment horizontal="left" vertical="center" wrapText="1"/>
    </xf>
    <xf numFmtId="4" fontId="22" fillId="0" borderId="4" xfId="0" applyNumberFormat="1" applyFont="1" applyBorder="1" applyAlignment="1">
      <alignment horizontal="center" vertical="center" wrapText="1"/>
    </xf>
    <xf numFmtId="4" fontId="22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27" fillId="0" borderId="2" xfId="0" applyNumberFormat="1" applyFont="1" applyBorder="1" applyAlignment="1">
      <alignment horizontal="center" vertical="center" wrapText="1"/>
    </xf>
    <xf numFmtId="4" fontId="27" fillId="0" borderId="6" xfId="0" applyNumberFormat="1" applyFont="1" applyBorder="1" applyAlignment="1">
      <alignment horizontal="center" vertical="center" wrapText="1"/>
    </xf>
    <xf numFmtId="4" fontId="22" fillId="0" borderId="2" xfId="0" applyNumberFormat="1" applyFont="1" applyBorder="1" applyAlignment="1">
      <alignment horizontal="center" vertical="center" wrapText="1"/>
    </xf>
    <xf numFmtId="4" fontId="22" fillId="0" borderId="8" xfId="0" applyNumberFormat="1" applyFont="1" applyBorder="1" applyAlignment="1">
      <alignment horizontal="center" vertical="center" wrapText="1"/>
    </xf>
    <xf numFmtId="4" fontId="22" fillId="0" borderId="9" xfId="0" applyNumberFormat="1" applyFont="1" applyBorder="1" applyAlignment="1">
      <alignment horizontal="center" vertical="center" wrapText="1"/>
    </xf>
    <xf numFmtId="4" fontId="14" fillId="3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27" fillId="0" borderId="0" xfId="0" applyNumberFormat="1" applyFont="1" applyAlignment="1">
      <alignment horizontal="center" vertical="center" wrapText="1"/>
    </xf>
    <xf numFmtId="3" fontId="50" fillId="0" borderId="32" xfId="0" applyNumberFormat="1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3" fontId="29" fillId="0" borderId="28" xfId="0" applyNumberFormat="1" applyFont="1" applyBorder="1" applyAlignment="1">
      <alignment horizontal="center" vertical="center" wrapText="1"/>
    </xf>
    <xf numFmtId="3" fontId="29" fillId="0" borderId="15" xfId="0" applyNumberFormat="1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/>
    </xf>
    <xf numFmtId="4" fontId="29" fillId="0" borderId="35" xfId="0" applyNumberFormat="1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/>
    </xf>
    <xf numFmtId="4" fontId="8" fillId="7" borderId="4" xfId="0" applyNumberFormat="1" applyFont="1" applyFill="1" applyBorder="1" applyAlignment="1">
      <alignment horizontal="center" vertical="center" wrapText="1"/>
    </xf>
    <xf numFmtId="3" fontId="27" fillId="0" borderId="32" xfId="0" applyNumberFormat="1" applyFont="1" applyFill="1" applyBorder="1" applyAlignment="1">
      <alignment horizontal="center" vertical="center" wrapText="1"/>
    </xf>
    <xf numFmtId="3" fontId="35" fillId="0" borderId="34" xfId="0" applyNumberFormat="1" applyFont="1" applyFill="1" applyBorder="1" applyAlignment="1">
      <alignment horizontal="center" vertical="center" wrapText="1"/>
    </xf>
    <xf numFmtId="3" fontId="39" fillId="0" borderId="4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 wrapText="1"/>
    </xf>
    <xf numFmtId="3" fontId="35" fillId="0" borderId="7" xfId="0" applyNumberFormat="1" applyFont="1" applyFill="1" applyBorder="1" applyAlignment="1">
      <alignment horizontal="center" vertical="center" wrapText="1"/>
    </xf>
    <xf numFmtId="3" fontId="35" fillId="0" borderId="11" xfId="0" applyNumberFormat="1" applyFont="1" applyFill="1" applyBorder="1" applyAlignment="1">
      <alignment horizontal="center" vertical="center" wrapText="1"/>
    </xf>
    <xf numFmtId="3" fontId="27" fillId="0" borderId="8" xfId="0" applyNumberFormat="1" applyFont="1" applyFill="1" applyBorder="1" applyAlignment="1">
      <alignment horizontal="center" vertical="center" wrapText="1"/>
    </xf>
    <xf numFmtId="3" fontId="27" fillId="0" borderId="4" xfId="0" applyNumberFormat="1" applyFont="1" applyFill="1" applyBorder="1" applyAlignment="1">
      <alignment horizontal="center" vertical="center" wrapText="1"/>
    </xf>
    <xf numFmtId="3" fontId="27" fillId="0" borderId="35" xfId="0" applyNumberFormat="1" applyFont="1" applyFill="1" applyBorder="1" applyAlignment="1">
      <alignment horizontal="left" vertical="center" wrapText="1"/>
    </xf>
    <xf numFmtId="0" fontId="39" fillId="0" borderId="35" xfId="0" applyFont="1" applyBorder="1" applyAlignment="1">
      <alignment horizontal="left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3" fontId="20" fillId="0" borderId="9" xfId="0" applyNumberFormat="1" applyFont="1" applyBorder="1" applyAlignment="1">
      <alignment horizontal="center" vertical="center" textRotation="90" wrapText="1"/>
    </xf>
    <xf numFmtId="3" fontId="41" fillId="0" borderId="6" xfId="0" applyNumberFormat="1" applyFont="1" applyBorder="1" applyAlignment="1">
      <alignment horizontal="center" vertical="center" textRotation="90" wrapText="1"/>
    </xf>
    <xf numFmtId="3" fontId="20" fillId="0" borderId="8" xfId="0" applyNumberFormat="1" applyFont="1" applyBorder="1" applyAlignment="1">
      <alignment horizontal="center" vertical="center" wrapText="1"/>
    </xf>
    <xf numFmtId="3" fontId="41" fillId="0" borderId="2" xfId="0" applyNumberFormat="1" applyFont="1" applyBorder="1" applyAlignment="1">
      <alignment horizontal="center" vertical="center" wrapText="1"/>
    </xf>
    <xf numFmtId="3" fontId="20" fillId="0" borderId="8" xfId="0" applyNumberFormat="1" applyFont="1" applyBorder="1" applyAlignment="1">
      <alignment horizontal="center" vertical="center" textRotation="90" wrapText="1"/>
    </xf>
    <xf numFmtId="3" fontId="41" fillId="0" borderId="2" xfId="0" applyNumberFormat="1" applyFont="1" applyBorder="1" applyAlignment="1">
      <alignment horizontal="center" vertical="center" textRotation="90" wrapText="1"/>
    </xf>
    <xf numFmtId="3" fontId="20" fillId="0" borderId="8" xfId="0" applyNumberFormat="1" applyFont="1" applyBorder="1" applyAlignment="1">
      <alignment horizontal="center" vertical="center" wrapText="1"/>
    </xf>
    <xf numFmtId="3" fontId="20" fillId="0" borderId="2" xfId="0" applyNumberFormat="1" applyFont="1" applyBorder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 wrapText="1"/>
    </xf>
    <xf numFmtId="3" fontId="61" fillId="0" borderId="2" xfId="0" applyNumberFormat="1" applyFont="1" applyBorder="1" applyAlignment="1">
      <alignment horizontal="center" vertical="center" wrapText="1"/>
    </xf>
    <xf numFmtId="4" fontId="20" fillId="0" borderId="8" xfId="0" applyNumberFormat="1" applyFont="1" applyBorder="1" applyAlignment="1">
      <alignment horizontal="center" vertical="center" textRotation="90" wrapText="1"/>
    </xf>
    <xf numFmtId="4" fontId="41" fillId="0" borderId="2" xfId="0" applyNumberFormat="1" applyFont="1" applyBorder="1" applyAlignment="1">
      <alignment horizontal="center" vertical="center" textRotation="90" wrapText="1"/>
    </xf>
    <xf numFmtId="3" fontId="27" fillId="0" borderId="0" xfId="0" applyNumberFormat="1" applyFont="1" applyBorder="1" applyAlignment="1">
      <alignment horizontal="left" vertical="center" wrapText="1"/>
    </xf>
    <xf numFmtId="3" fontId="39" fillId="0" borderId="0" xfId="0" applyNumberFormat="1" applyFont="1" applyBorder="1" applyAlignment="1">
      <alignment horizontal="left" vertical="center" wrapText="1"/>
    </xf>
    <xf numFmtId="3" fontId="20" fillId="0" borderId="7" xfId="0" applyNumberFormat="1" applyFont="1" applyBorder="1" applyAlignment="1">
      <alignment horizontal="center" vertical="center" textRotation="90" wrapText="1"/>
    </xf>
    <xf numFmtId="3" fontId="41" fillId="0" borderId="1" xfId="0" applyNumberFormat="1" applyFont="1" applyBorder="1" applyAlignment="1">
      <alignment horizontal="center" vertical="center" textRotation="90" wrapText="1"/>
    </xf>
    <xf numFmtId="3" fontId="4" fillId="0" borderId="1" xfId="0" applyNumberFormat="1" applyFont="1" applyBorder="1" applyAlignment="1">
      <alignment horizontal="center" vertical="center" wrapText="1"/>
    </xf>
    <xf numFmtId="3" fontId="60" fillId="0" borderId="1" xfId="0" applyNumberFormat="1" applyFont="1" applyBorder="1" applyAlignment="1">
      <alignment horizontal="center" vertical="center" wrapText="1"/>
    </xf>
    <xf numFmtId="0" fontId="35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4" fontId="0" fillId="8" borderId="19" xfId="0" applyNumberFormat="1" applyFont="1" applyFill="1" applyBorder="1" applyAlignment="1">
      <alignment horizontal="center" vertical="center" wrapText="1"/>
    </xf>
    <xf numFmtId="4" fontId="0" fillId="8" borderId="15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3" fontId="29" fillId="0" borderId="5" xfId="0" applyNumberFormat="1" applyFont="1" applyFill="1" applyBorder="1" applyAlignment="1">
      <alignment horizontal="center" vertical="center" wrapText="1"/>
    </xf>
    <xf numFmtId="3" fontId="29" fillId="0" borderId="19" xfId="0" applyNumberFormat="1" applyFont="1" applyFill="1" applyBorder="1" applyAlignment="1">
      <alignment horizontal="center" vertical="center" wrapText="1"/>
    </xf>
    <xf numFmtId="3" fontId="29" fillId="0" borderId="15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3" fontId="29" fillId="0" borderId="3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4" fontId="11" fillId="5" borderId="2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 horizontal="center" vertical="center" wrapText="1"/>
    </xf>
    <xf numFmtId="4" fontId="8" fillId="3" borderId="6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5" borderId="2" xfId="0" applyNumberFormat="1" applyFont="1" applyFill="1" applyBorder="1" applyAlignment="1">
      <alignment horizontal="center" vertical="center" wrapText="1"/>
    </xf>
    <xf numFmtId="3" fontId="22" fillId="0" borderId="35" xfId="0" applyNumberFormat="1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4" fontId="11" fillId="3" borderId="5" xfId="0" applyNumberFormat="1" applyFont="1" applyFill="1" applyBorder="1" applyAlignment="1">
      <alignment horizontal="center" vertical="center" wrapText="1"/>
    </xf>
    <xf numFmtId="4" fontId="11" fillId="5" borderId="5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wrapText="1"/>
    </xf>
    <xf numFmtId="4" fontId="11" fillId="0" borderId="3" xfId="0" applyNumberFormat="1" applyFont="1" applyFill="1" applyBorder="1" applyAlignment="1">
      <alignment horizontal="center" wrapText="1"/>
    </xf>
    <xf numFmtId="4" fontId="11" fillId="5" borderId="3" xfId="0" applyNumberFormat="1" applyFont="1" applyFill="1" applyBorder="1" applyAlignment="1">
      <alignment horizontal="center" vertical="center" wrapText="1"/>
    </xf>
    <xf numFmtId="4" fontId="11" fillId="8" borderId="5" xfId="0" applyNumberFormat="1" applyFont="1" applyFill="1" applyBorder="1" applyAlignment="1">
      <alignment horizontal="center" vertical="center" wrapText="1"/>
    </xf>
    <xf numFmtId="4" fontId="11" fillId="8" borderId="3" xfId="0" applyNumberFormat="1" applyFont="1" applyFill="1" applyBorder="1" applyAlignment="1">
      <alignment horizontal="center" vertical="center" wrapText="1"/>
    </xf>
    <xf numFmtId="4" fontId="11" fillId="8" borderId="19" xfId="0" applyNumberFormat="1" applyFont="1" applyFill="1" applyBorder="1" applyAlignment="1">
      <alignment horizontal="center" vertical="center" wrapText="1"/>
    </xf>
    <xf numFmtId="4" fontId="11" fillId="8" borderId="15" xfId="0" applyNumberFormat="1" applyFont="1" applyFill="1" applyBorder="1" applyAlignment="1">
      <alignment horizontal="center" vertical="center" wrapText="1"/>
    </xf>
    <xf numFmtId="4" fontId="0" fillId="8" borderId="3" xfId="0" applyNumberFormat="1" applyFont="1" applyFill="1" applyBorder="1" applyAlignment="1">
      <alignment horizontal="center" vertical="center" wrapText="1"/>
    </xf>
    <xf numFmtId="4" fontId="0" fillId="3" borderId="19" xfId="0" applyNumberFormat="1" applyFont="1" applyFill="1" applyBorder="1" applyAlignment="1">
      <alignment horizontal="center" vertical="center" wrapText="1"/>
    </xf>
    <xf numFmtId="4" fontId="0" fillId="3" borderId="15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center" vertical="center" wrapText="1"/>
    </xf>
    <xf numFmtId="3" fontId="11" fillId="0" borderId="20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3" borderId="3" xfId="0" applyNumberFormat="1" applyFont="1" applyFill="1" applyBorder="1" applyAlignment="1">
      <alignment horizontal="center" vertical="center" wrapText="1"/>
    </xf>
    <xf numFmtId="4" fontId="11" fillId="3" borderId="19" xfId="0" applyNumberFormat="1" applyFont="1" applyFill="1" applyBorder="1" applyAlignment="1">
      <alignment horizontal="center" vertical="center" wrapText="1"/>
    </xf>
    <xf numFmtId="4" fontId="0" fillId="3" borderId="3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4" fontId="0" fillId="5" borderId="19" xfId="0" applyNumberFormat="1" applyFont="1" applyFill="1" applyBorder="1" applyAlignment="1">
      <alignment horizontal="center" vertical="center" wrapText="1"/>
    </xf>
    <xf numFmtId="4" fontId="0" fillId="5" borderId="15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4" fontId="11" fillId="5" borderId="19" xfId="0" applyNumberFormat="1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25" fillId="0" borderId="19" xfId="0" applyNumberFormat="1" applyFont="1" applyBorder="1" applyAlignment="1">
      <alignment horizontal="center" vertical="center" wrapText="1"/>
    </xf>
    <xf numFmtId="3" fontId="25" fillId="0" borderId="15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8" fillId="8" borderId="5" xfId="0" applyNumberFormat="1" applyFont="1" applyFill="1" applyBorder="1" applyAlignment="1">
      <alignment horizontal="center" vertical="center" wrapText="1"/>
    </xf>
    <xf numFmtId="3" fontId="8" fillId="8" borderId="3" xfId="0" applyNumberFormat="1" applyFont="1" applyFill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 wrapText="1"/>
    </xf>
    <xf numFmtId="3" fontId="8" fillId="0" borderId="2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8" fillId="0" borderId="38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3" fontId="27" fillId="0" borderId="27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27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4" fontId="27" fillId="0" borderId="26" xfId="0" applyNumberFormat="1" applyFont="1" applyFill="1" applyBorder="1" applyAlignment="1">
      <alignment horizontal="center" vertical="center" wrapText="1"/>
    </xf>
    <xf numFmtId="4" fontId="27" fillId="0" borderId="9" xfId="0" applyNumberFormat="1" applyFont="1" applyFill="1" applyBorder="1" applyAlignment="1">
      <alignment horizontal="center" vertical="center" wrapText="1"/>
    </xf>
    <xf numFmtId="4" fontId="27" fillId="0" borderId="28" xfId="0" applyNumberFormat="1" applyFont="1" applyFill="1" applyBorder="1" applyAlignment="1">
      <alignment horizontal="center" vertical="center" wrapText="1"/>
    </xf>
    <xf numFmtId="3" fontId="27" fillId="0" borderId="38" xfId="0" applyNumberFormat="1" applyFont="1" applyFill="1" applyBorder="1" applyAlignment="1">
      <alignment horizontal="center" vertical="center" wrapText="1"/>
    </xf>
    <xf numFmtId="3" fontId="27" fillId="0" borderId="28" xfId="0" applyNumberFormat="1" applyFont="1" applyFill="1" applyBorder="1" applyAlignment="1">
      <alignment horizontal="center" vertical="center" wrapText="1"/>
    </xf>
    <xf numFmtId="4" fontId="27" fillId="0" borderId="3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4" fontId="42" fillId="0" borderId="0" xfId="0" applyNumberFormat="1" applyFont="1" applyFill="1" applyAlignment="1">
      <alignment horizontal="left" vertical="center" wrapText="1"/>
    </xf>
    <xf numFmtId="0" fontId="49" fillId="0" borderId="0" xfId="0" applyFont="1" applyAlignment="1">
      <alignment horizontal="left" wrapText="1"/>
    </xf>
    <xf numFmtId="0" fontId="0" fillId="0" borderId="0" xfId="0" applyBorder="1" applyAlignment="1">
      <alignment vertical="center" wrapText="1"/>
    </xf>
    <xf numFmtId="3" fontId="27" fillId="0" borderId="28" xfId="0" applyNumberFormat="1" applyFont="1" applyFill="1" applyBorder="1" applyAlignment="1">
      <alignment horizontal="center" vertical="center" wrapText="1"/>
    </xf>
    <xf numFmtId="3" fontId="27" fillId="0" borderId="3" xfId="0" applyNumberFormat="1" applyFont="1" applyFill="1" applyBorder="1" applyAlignment="1">
      <alignment horizontal="center" vertical="center" wrapText="1"/>
    </xf>
    <xf numFmtId="3" fontId="27" fillId="0" borderId="8" xfId="0" applyNumberFormat="1" applyFont="1" applyFill="1" applyBorder="1" applyAlignment="1">
      <alignment horizontal="center" vertical="center" textRotation="90" wrapText="1"/>
    </xf>
    <xf numFmtId="3" fontId="27" fillId="0" borderId="2" xfId="0" applyNumberFormat="1" applyFont="1" applyFill="1" applyBorder="1" applyAlignment="1">
      <alignment horizontal="center" vertical="center" textRotation="90" wrapText="1"/>
    </xf>
    <xf numFmtId="4" fontId="27" fillId="0" borderId="8" xfId="0" applyNumberFormat="1" applyFont="1" applyFill="1" applyBorder="1" applyAlignment="1">
      <alignment horizontal="center" vertical="center" textRotation="90" wrapText="1"/>
    </xf>
    <xf numFmtId="4" fontId="27" fillId="0" borderId="2" xfId="0" applyNumberFormat="1" applyFont="1" applyFill="1" applyBorder="1" applyAlignment="1">
      <alignment horizontal="center" vertical="center" textRotation="90" wrapText="1"/>
    </xf>
    <xf numFmtId="4" fontId="27" fillId="0" borderId="8" xfId="0" applyNumberFormat="1" applyFont="1" applyFill="1" applyBorder="1" applyAlignment="1">
      <alignment horizontal="center" vertical="center" textRotation="90" wrapText="1"/>
    </xf>
    <xf numFmtId="4" fontId="27" fillId="0" borderId="2" xfId="0" applyNumberFormat="1" applyFont="1" applyFill="1" applyBorder="1" applyAlignment="1">
      <alignment horizontal="center" vertical="center" textRotation="90" wrapText="1"/>
    </xf>
    <xf numFmtId="4" fontId="5" fillId="0" borderId="32" xfId="0" applyNumberFormat="1" applyFont="1" applyFill="1" applyBorder="1" applyAlignment="1">
      <alignment horizontal="center" vertical="center" wrapText="1"/>
    </xf>
    <xf numFmtId="4" fontId="5" fillId="0" borderId="34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textRotation="90" wrapText="1"/>
    </xf>
    <xf numFmtId="4" fontId="5" fillId="0" borderId="2" xfId="0" applyNumberFormat="1" applyFont="1" applyFill="1" applyBorder="1" applyAlignment="1">
      <alignment horizontal="center" vertical="center" textRotation="90" wrapText="1"/>
    </xf>
    <xf numFmtId="3" fontId="12" fillId="0" borderId="7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4" fontId="12" fillId="0" borderId="32" xfId="0" applyNumberFormat="1" applyFont="1" applyFill="1" applyBorder="1" applyAlignment="1">
      <alignment horizontal="center" vertical="center" wrapText="1"/>
    </xf>
    <xf numFmtId="4" fontId="12" fillId="0" borderId="37" xfId="0" applyNumberFormat="1" applyFont="1" applyFill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 vertical="center" wrapText="1"/>
    </xf>
    <xf numFmtId="4" fontId="5" fillId="0" borderId="34" xfId="0" applyNumberFormat="1" applyFont="1" applyFill="1" applyBorder="1" applyAlignment="1">
      <alignment horizontal="center" vertical="center" wrapText="1"/>
    </xf>
    <xf numFmtId="3" fontId="12" fillId="5" borderId="18" xfId="0" applyNumberFormat="1" applyFont="1" applyFill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4" fontId="12" fillId="0" borderId="34" xfId="0" applyNumberFormat="1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/>
    </xf>
    <xf numFmtId="0" fontId="26" fillId="0" borderId="8" xfId="0" applyFont="1" applyBorder="1" applyAlignment="1">
      <alignment horizontal="center" vertical="center" wrapText="1"/>
    </xf>
    <xf numFmtId="3" fontId="27" fillId="0" borderId="35" xfId="0" applyNumberFormat="1" applyFont="1" applyBorder="1" applyAlignment="1">
      <alignment horizontal="left" vertical="center" wrapText="1"/>
    </xf>
    <xf numFmtId="0" fontId="0" fillId="0" borderId="35" xfId="0" applyBorder="1" applyAlignment="1">
      <alignment vertical="center" wrapText="1"/>
    </xf>
    <xf numFmtId="3" fontId="29" fillId="0" borderId="8" xfId="0" applyNumberFormat="1" applyFont="1" applyFill="1" applyBorder="1" applyAlignment="1">
      <alignment horizontal="center" vertical="center" wrapText="1"/>
    </xf>
    <xf numFmtId="3" fontId="52" fillId="0" borderId="4" xfId="0" applyNumberFormat="1" applyFont="1" applyBorder="1" applyAlignment="1">
      <alignment horizontal="center" vertical="center" wrapText="1"/>
    </xf>
    <xf numFmtId="3" fontId="29" fillId="0" borderId="8" xfId="0" applyNumberFormat="1" applyFont="1" applyBorder="1" applyAlignment="1">
      <alignment horizontal="center" vertical="center" wrapText="1"/>
    </xf>
    <xf numFmtId="3" fontId="28" fillId="0" borderId="8" xfId="0" applyNumberFormat="1" applyFont="1" applyBorder="1" applyAlignment="1">
      <alignment horizontal="center" vertical="center" wrapText="1"/>
    </xf>
    <xf numFmtId="3" fontId="29" fillId="0" borderId="28" xfId="0" applyNumberFormat="1" applyFont="1" applyBorder="1" applyAlignment="1">
      <alignment horizontal="center" vertical="center" wrapText="1"/>
    </xf>
    <xf numFmtId="3" fontId="29" fillId="0" borderId="15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29" fillId="0" borderId="8" xfId="0" applyNumberFormat="1" applyFont="1" applyFill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3" fontId="8" fillId="0" borderId="27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textRotation="90" wrapText="1"/>
    </xf>
    <xf numFmtId="3" fontId="8" fillId="0" borderId="2" xfId="0" applyNumberFormat="1" applyFont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5" fillId="0" borderId="5" xfId="0" applyFont="1" applyBorder="1" applyAlignment="1">
      <alignment horizontal="left" vertical="center" wrapText="1"/>
    </xf>
    <xf numFmtId="0" fontId="55" fillId="0" borderId="3" xfId="0" applyFont="1" applyBorder="1" applyAlignment="1">
      <alignment horizontal="left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14" borderId="5" xfId="0" applyFont="1" applyFill="1" applyBorder="1" applyAlignment="1">
      <alignment horizontal="left" vertical="center" wrapText="1"/>
    </xf>
    <xf numFmtId="0" fontId="55" fillId="14" borderId="3" xfId="0" applyFont="1" applyFill="1" applyBorder="1" applyAlignment="1">
      <alignment horizontal="left" vertical="center" wrapText="1"/>
    </xf>
    <xf numFmtId="0" fontId="55" fillId="14" borderId="17" xfId="0" applyFont="1" applyFill="1" applyBorder="1" applyAlignment="1">
      <alignment horizontal="center" vertical="center" wrapText="1"/>
    </xf>
    <xf numFmtId="0" fontId="55" fillId="14" borderId="12" xfId="0" applyFont="1" applyFill="1" applyBorder="1" applyAlignment="1">
      <alignment horizontal="center" vertical="center" wrapText="1"/>
    </xf>
    <xf numFmtId="177" fontId="33" fillId="0" borderId="2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left" vertical="center"/>
    </xf>
    <xf numFmtId="3" fontId="8" fillId="0" borderId="8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Кучеренко (6 котельных)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19050</xdr:colOff>
      <xdr:row>32</xdr:row>
      <xdr:rowOff>161925</xdr:rowOff>
    </xdr:from>
    <xdr:to>
      <xdr:col>28</xdr:col>
      <xdr:colOff>19050</xdr:colOff>
      <xdr:row>32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43548300" y="33870900"/>
          <a:ext cx="7467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1;&#1080;&#1090;&#1074;&#1080;&#1085;&#1086;&#1074;&#1072;%20&#1048;.%20&#1053;\&#1042;&#1069;&#1057;-3-&#1055;&#1069;&#1057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1;&#1080;&#1090;&#1074;&#1080;&#1085;&#1086;&#1074;&#1072;%20&#1048;.%20&#1053;\&#1055;&#1077;&#1088;&#1089;&#1086;&#1085;&#1072;&#10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4;&#1094;&#1077;&#1085;&#1082;&#1072;_&#1090;&#1088;&#1072;&#1085;&#1089;&#1092;&#1086;&#1088;&#1084;&#1072;&#1090;&#1086;&#1088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ЭС"/>
      <sheetName val="Лист2"/>
      <sheetName val="оригинал"/>
    </sheetNames>
    <sheetDataSet>
      <sheetData sheetId="0">
        <row r="10">
          <cell r="E10">
            <v>29</v>
          </cell>
          <cell r="F10">
            <v>12405</v>
          </cell>
          <cell r="G10">
            <v>33</v>
          </cell>
          <cell r="H10">
            <v>33.4</v>
          </cell>
          <cell r="I10">
            <v>9.4</v>
          </cell>
          <cell r="J10">
            <v>12.96</v>
          </cell>
          <cell r="K10">
            <v>15.2</v>
          </cell>
          <cell r="M10">
            <v>32500</v>
          </cell>
          <cell r="N10">
            <v>33</v>
          </cell>
          <cell r="O10">
            <v>0.4</v>
          </cell>
          <cell r="P10">
            <v>32.2</v>
          </cell>
          <cell r="Q10">
            <v>6</v>
          </cell>
          <cell r="R10">
            <v>17.5</v>
          </cell>
          <cell r="S10">
            <v>70</v>
          </cell>
          <cell r="T10">
            <v>38810</v>
          </cell>
          <cell r="U10">
            <v>0.4</v>
          </cell>
          <cell r="V10">
            <v>61</v>
          </cell>
          <cell r="W10">
            <v>6</v>
          </cell>
          <cell r="X10">
            <v>33</v>
          </cell>
          <cell r="Y10">
            <v>14026</v>
          </cell>
          <cell r="Z10">
            <v>28052</v>
          </cell>
          <cell r="AA10">
            <v>100</v>
          </cell>
        </row>
        <row r="11">
          <cell r="E11">
            <v>17</v>
          </cell>
          <cell r="F11">
            <v>5065</v>
          </cell>
          <cell r="G11">
            <v>14</v>
          </cell>
          <cell r="H11">
            <v>41.44</v>
          </cell>
          <cell r="I11">
            <v>2.1</v>
          </cell>
          <cell r="J11">
            <v>2.15</v>
          </cell>
          <cell r="K11">
            <v>13.37</v>
          </cell>
          <cell r="M11">
            <v>8500</v>
          </cell>
          <cell r="N11">
            <v>14</v>
          </cell>
          <cell r="O11">
            <v>0.4</v>
          </cell>
          <cell r="P11">
            <v>43.3</v>
          </cell>
          <cell r="Q11">
            <v>6</v>
          </cell>
          <cell r="R11">
            <v>15.3</v>
          </cell>
          <cell r="S11">
            <v>23</v>
          </cell>
          <cell r="T11">
            <v>18760</v>
          </cell>
          <cell r="U11">
            <v>0.4</v>
          </cell>
          <cell r="V11">
            <v>85</v>
          </cell>
          <cell r="W11">
            <v>6</v>
          </cell>
          <cell r="X11">
            <v>30</v>
          </cell>
          <cell r="Y11">
            <v>4751.5</v>
          </cell>
          <cell r="Z11">
            <v>9503</v>
          </cell>
          <cell r="AA11">
            <v>50</v>
          </cell>
        </row>
        <row r="12">
          <cell r="E12">
            <v>4</v>
          </cell>
          <cell r="F12">
            <v>1050</v>
          </cell>
          <cell r="G12">
            <v>4</v>
          </cell>
          <cell r="H12">
            <v>11.28</v>
          </cell>
          <cell r="I12">
            <v>0.2</v>
          </cell>
          <cell r="J12">
            <v>2.56</v>
          </cell>
          <cell r="K12">
            <v>0.83</v>
          </cell>
          <cell r="M12">
            <v>3600</v>
          </cell>
          <cell r="N12">
            <v>4</v>
          </cell>
          <cell r="O12">
            <v>0.4</v>
          </cell>
          <cell r="P12">
            <v>11.3</v>
          </cell>
          <cell r="Q12">
            <v>6</v>
          </cell>
          <cell r="R12">
            <v>2.6</v>
          </cell>
          <cell r="S12">
            <v>5</v>
          </cell>
          <cell r="T12" t="str">
            <v>2800</v>
          </cell>
          <cell r="U12">
            <v>0.4</v>
          </cell>
          <cell r="V12">
            <v>22</v>
          </cell>
          <cell r="W12">
            <v>6</v>
          </cell>
          <cell r="X12">
            <v>5</v>
          </cell>
          <cell r="Y12">
            <v>565</v>
          </cell>
          <cell r="Z12">
            <v>1130</v>
          </cell>
          <cell r="AA12">
            <v>10</v>
          </cell>
        </row>
        <row r="13">
          <cell r="E13">
            <v>7</v>
          </cell>
          <cell r="F13">
            <v>3900</v>
          </cell>
          <cell r="G13">
            <v>9</v>
          </cell>
          <cell r="H13">
            <v>18.36</v>
          </cell>
          <cell r="I13">
            <v>1.9</v>
          </cell>
          <cell r="J13">
            <v>5.05</v>
          </cell>
          <cell r="K13">
            <v>7.49</v>
          </cell>
          <cell r="M13">
            <v>7200</v>
          </cell>
          <cell r="N13">
            <v>9</v>
          </cell>
          <cell r="O13">
            <v>0.4</v>
          </cell>
          <cell r="P13">
            <v>20.2</v>
          </cell>
          <cell r="Q13">
            <v>6</v>
          </cell>
          <cell r="R13">
            <v>13.4</v>
          </cell>
          <cell r="S13">
            <v>18</v>
          </cell>
          <cell r="T13">
            <v>134030</v>
          </cell>
          <cell r="U13">
            <v>0.4</v>
          </cell>
          <cell r="V13">
            <v>40</v>
          </cell>
          <cell r="W13">
            <v>6</v>
          </cell>
          <cell r="X13">
            <v>26</v>
          </cell>
          <cell r="Y13">
            <v>3069</v>
          </cell>
          <cell r="Z13">
            <v>6138</v>
          </cell>
          <cell r="AA13">
            <v>20</v>
          </cell>
        </row>
        <row r="15">
          <cell r="E15">
            <v>25</v>
          </cell>
          <cell r="F15">
            <v>10940</v>
          </cell>
          <cell r="G15">
            <v>25</v>
          </cell>
          <cell r="H15">
            <v>47.3</v>
          </cell>
          <cell r="I15">
            <v>7.6</v>
          </cell>
          <cell r="J15">
            <v>10.67</v>
          </cell>
          <cell r="K15">
            <v>7.4</v>
          </cell>
          <cell r="M15">
            <v>21200</v>
          </cell>
          <cell r="N15">
            <v>25</v>
          </cell>
          <cell r="O15">
            <v>0.4</v>
          </cell>
          <cell r="P15">
            <v>54.3</v>
          </cell>
          <cell r="Q15">
            <v>6</v>
          </cell>
          <cell r="R15">
            <v>18.1</v>
          </cell>
          <cell r="S15">
            <v>27</v>
          </cell>
          <cell r="T15">
            <v>19440</v>
          </cell>
          <cell r="U15">
            <v>0.4</v>
          </cell>
          <cell r="V15">
            <v>105</v>
          </cell>
          <cell r="W15">
            <v>6</v>
          </cell>
          <cell r="X15">
            <v>35</v>
          </cell>
          <cell r="Y15">
            <v>7363</v>
          </cell>
          <cell r="Z15">
            <v>14726</v>
          </cell>
          <cell r="AA15">
            <v>150</v>
          </cell>
        </row>
        <row r="16">
          <cell r="E16">
            <v>21</v>
          </cell>
          <cell r="F16">
            <v>13645</v>
          </cell>
          <cell r="G16">
            <v>21</v>
          </cell>
          <cell r="H16">
            <v>28</v>
          </cell>
          <cell r="I16">
            <v>5.3</v>
          </cell>
          <cell r="J16">
            <v>0.99</v>
          </cell>
          <cell r="K16">
            <v>11.5</v>
          </cell>
          <cell r="M16">
            <v>21100</v>
          </cell>
          <cell r="N16">
            <v>21</v>
          </cell>
          <cell r="O16">
            <v>0.4</v>
          </cell>
          <cell r="P16">
            <v>29.3</v>
          </cell>
          <cell r="Q16">
            <v>6</v>
          </cell>
          <cell r="R16">
            <v>12.2</v>
          </cell>
          <cell r="S16">
            <v>25</v>
          </cell>
          <cell r="T16">
            <v>18240</v>
          </cell>
          <cell r="U16">
            <v>0.4</v>
          </cell>
          <cell r="V16">
            <v>58</v>
          </cell>
          <cell r="W16">
            <v>6</v>
          </cell>
          <cell r="X16">
            <v>24</v>
          </cell>
          <cell r="Y16">
            <v>6620</v>
          </cell>
          <cell r="Z16">
            <v>13240</v>
          </cell>
          <cell r="AA16">
            <v>130</v>
          </cell>
        </row>
        <row r="17">
          <cell r="E17">
            <v>2</v>
          </cell>
          <cell r="F17">
            <v>790</v>
          </cell>
          <cell r="G17">
            <v>2</v>
          </cell>
          <cell r="H17">
            <v>4.9</v>
          </cell>
          <cell r="I17">
            <v>0</v>
          </cell>
          <cell r="J17">
            <v>3.38</v>
          </cell>
          <cell r="K17">
            <v>0.06</v>
          </cell>
          <cell r="M17">
            <v>1200</v>
          </cell>
          <cell r="N17">
            <v>2</v>
          </cell>
          <cell r="O17">
            <v>0.4</v>
          </cell>
          <cell r="P17">
            <v>4.5</v>
          </cell>
          <cell r="Q17">
            <v>6</v>
          </cell>
          <cell r="R17">
            <v>3.4</v>
          </cell>
          <cell r="S17">
            <v>2</v>
          </cell>
          <cell r="T17">
            <v>960</v>
          </cell>
          <cell r="U17">
            <v>0.4</v>
          </cell>
          <cell r="V17">
            <v>9</v>
          </cell>
          <cell r="W17">
            <v>6</v>
          </cell>
          <cell r="X17">
            <v>7</v>
          </cell>
          <cell r="Y17">
            <v>542</v>
          </cell>
          <cell r="Z17">
            <v>1084</v>
          </cell>
          <cell r="AA17">
            <v>10</v>
          </cell>
        </row>
        <row r="19">
          <cell r="E19">
            <v>10</v>
          </cell>
          <cell r="F19">
            <v>3220</v>
          </cell>
          <cell r="G19">
            <v>10</v>
          </cell>
          <cell r="H19">
            <v>39.32</v>
          </cell>
          <cell r="I19">
            <v>0</v>
          </cell>
          <cell r="J19">
            <v>4.49</v>
          </cell>
          <cell r="K19">
            <v>1.03</v>
          </cell>
          <cell r="M19">
            <v>6200</v>
          </cell>
          <cell r="N19">
            <v>10</v>
          </cell>
          <cell r="O19">
            <v>0.4</v>
          </cell>
          <cell r="P19">
            <v>37.6</v>
          </cell>
          <cell r="Q19">
            <v>6</v>
          </cell>
          <cell r="R19">
            <v>5.5</v>
          </cell>
          <cell r="S19">
            <v>1</v>
          </cell>
          <cell r="T19">
            <v>400</v>
          </cell>
          <cell r="U19">
            <v>0.4</v>
          </cell>
          <cell r="V19">
            <v>72</v>
          </cell>
          <cell r="W19">
            <v>6</v>
          </cell>
          <cell r="X19">
            <v>10.5</v>
          </cell>
          <cell r="Y19">
            <v>233.5</v>
          </cell>
          <cell r="Z19">
            <v>467</v>
          </cell>
          <cell r="AA19">
            <v>2.5</v>
          </cell>
        </row>
        <row r="20">
          <cell r="E20">
            <v>4</v>
          </cell>
          <cell r="F20">
            <v>1290</v>
          </cell>
          <cell r="G20">
            <v>4</v>
          </cell>
          <cell r="H20">
            <v>12</v>
          </cell>
          <cell r="I20">
            <v>0</v>
          </cell>
          <cell r="J20">
            <v>3.07</v>
          </cell>
          <cell r="K20">
            <v>0</v>
          </cell>
          <cell r="M20">
            <v>2480</v>
          </cell>
          <cell r="N20">
            <v>4</v>
          </cell>
          <cell r="O20">
            <v>0.4</v>
          </cell>
          <cell r="P20">
            <v>10</v>
          </cell>
          <cell r="Q20">
            <v>6</v>
          </cell>
          <cell r="R20">
            <v>2.7</v>
          </cell>
          <cell r="S20">
            <v>2</v>
          </cell>
          <cell r="T20">
            <v>1030</v>
          </cell>
          <cell r="U20">
            <v>0.4</v>
          </cell>
          <cell r="V20">
            <v>20</v>
          </cell>
          <cell r="W20">
            <v>6</v>
          </cell>
          <cell r="X20">
            <v>5.2</v>
          </cell>
          <cell r="Y20">
            <v>269</v>
          </cell>
          <cell r="Z20">
            <v>538</v>
          </cell>
          <cell r="AA20">
            <v>5</v>
          </cell>
        </row>
        <row r="21">
          <cell r="E21">
            <v>2</v>
          </cell>
          <cell r="G21">
            <v>2</v>
          </cell>
          <cell r="H21">
            <v>0.7</v>
          </cell>
          <cell r="I21">
            <v>0</v>
          </cell>
          <cell r="J21">
            <v>1.7</v>
          </cell>
          <cell r="K21">
            <v>1.045</v>
          </cell>
          <cell r="S21">
            <v>2</v>
          </cell>
          <cell r="T21">
            <v>3.2</v>
          </cell>
          <cell r="W21">
            <v>6</v>
          </cell>
          <cell r="X21">
            <v>2.5</v>
          </cell>
          <cell r="Y21">
            <v>400</v>
          </cell>
          <cell r="Z21">
            <v>800</v>
          </cell>
          <cell r="AA21">
            <v>5</v>
          </cell>
        </row>
        <row r="22">
          <cell r="E22">
            <v>34</v>
          </cell>
          <cell r="F22">
            <v>14290</v>
          </cell>
          <cell r="G22">
            <v>34</v>
          </cell>
          <cell r="H22">
            <v>53.1</v>
          </cell>
          <cell r="I22">
            <v>5.1</v>
          </cell>
          <cell r="J22">
            <v>2.53</v>
          </cell>
          <cell r="K22">
            <v>28.05</v>
          </cell>
          <cell r="M22">
            <v>28900</v>
          </cell>
          <cell r="N22">
            <v>34</v>
          </cell>
          <cell r="O22">
            <v>0.4</v>
          </cell>
          <cell r="P22">
            <v>57.8</v>
          </cell>
          <cell r="Q22">
            <v>6</v>
          </cell>
          <cell r="R22">
            <v>30.1</v>
          </cell>
          <cell r="S22">
            <v>10</v>
          </cell>
          <cell r="T22" t="str">
            <v>7240</v>
          </cell>
          <cell r="U22">
            <v>0.4</v>
          </cell>
          <cell r="V22">
            <v>110</v>
          </cell>
          <cell r="W22">
            <v>6</v>
          </cell>
          <cell r="X22">
            <v>60</v>
          </cell>
          <cell r="Y22">
            <v>1702.5</v>
          </cell>
          <cell r="Z22">
            <v>3405</v>
          </cell>
          <cell r="AA22">
            <v>50</v>
          </cell>
        </row>
        <row r="23">
          <cell r="U23">
            <v>35</v>
          </cell>
          <cell r="V23">
            <v>4.6</v>
          </cell>
          <cell r="W23">
            <v>6</v>
          </cell>
          <cell r="X23">
            <v>3</v>
          </cell>
          <cell r="Y23">
            <v>9000</v>
          </cell>
          <cell r="Z23">
            <v>18000</v>
          </cell>
          <cell r="AA23">
            <v>10</v>
          </cell>
        </row>
        <row r="24">
          <cell r="E24">
            <v>45</v>
          </cell>
          <cell r="F24">
            <v>17300</v>
          </cell>
          <cell r="G24">
            <v>55</v>
          </cell>
          <cell r="H24">
            <v>51.6</v>
          </cell>
          <cell r="I24">
            <v>17.1</v>
          </cell>
          <cell r="J24">
            <v>22.9</v>
          </cell>
          <cell r="K24">
            <v>12.8</v>
          </cell>
          <cell r="M24">
            <v>4910</v>
          </cell>
          <cell r="N24">
            <v>9</v>
          </cell>
          <cell r="O24">
            <v>0</v>
          </cell>
          <cell r="P24">
            <v>0</v>
          </cell>
          <cell r="Q24">
            <v>6</v>
          </cell>
          <cell r="R24">
            <v>3.2</v>
          </cell>
          <cell r="S24">
            <v>2</v>
          </cell>
          <cell r="T24">
            <v>1760</v>
          </cell>
          <cell r="U24">
            <v>0</v>
          </cell>
          <cell r="V24">
            <v>0</v>
          </cell>
          <cell r="W24">
            <v>6</v>
          </cell>
          <cell r="X24">
            <v>0.9</v>
          </cell>
          <cell r="Y24">
            <v>1800</v>
          </cell>
          <cell r="Z24">
            <v>1400</v>
          </cell>
          <cell r="AA24">
            <v>30</v>
          </cell>
        </row>
        <row r="25">
          <cell r="E25">
            <v>23</v>
          </cell>
          <cell r="F25">
            <v>10630</v>
          </cell>
          <cell r="G25">
            <v>25</v>
          </cell>
          <cell r="H25">
            <v>36.65</v>
          </cell>
          <cell r="I25">
            <v>5.1</v>
          </cell>
          <cell r="J25">
            <v>2.53</v>
          </cell>
          <cell r="K25">
            <v>6.8</v>
          </cell>
          <cell r="M25">
            <v>32115</v>
          </cell>
          <cell r="N25">
            <v>25</v>
          </cell>
          <cell r="O25">
            <v>0.4</v>
          </cell>
          <cell r="P25">
            <v>40.7</v>
          </cell>
          <cell r="Q25">
            <v>6</v>
          </cell>
          <cell r="R25">
            <v>27.2</v>
          </cell>
          <cell r="S25">
            <v>25</v>
          </cell>
          <cell r="T25">
            <v>18240</v>
          </cell>
          <cell r="U25">
            <v>0.4</v>
          </cell>
          <cell r="V25">
            <v>80</v>
          </cell>
          <cell r="W25">
            <v>6</v>
          </cell>
          <cell r="X25">
            <v>53</v>
          </cell>
          <cell r="Y25">
            <v>6600</v>
          </cell>
          <cell r="Z25">
            <v>13200</v>
          </cell>
          <cell r="AA25">
            <v>100</v>
          </cell>
        </row>
        <row r="26">
          <cell r="E26">
            <v>221</v>
          </cell>
          <cell r="F26">
            <v>5340</v>
          </cell>
          <cell r="G26">
            <v>231</v>
          </cell>
          <cell r="H26">
            <v>893</v>
          </cell>
          <cell r="I26">
            <v>65</v>
          </cell>
          <cell r="J26">
            <v>143.7</v>
          </cell>
          <cell r="K26">
            <v>76.6</v>
          </cell>
          <cell r="M26">
            <v>1610</v>
          </cell>
          <cell r="N26">
            <v>6</v>
          </cell>
          <cell r="O26">
            <v>0</v>
          </cell>
          <cell r="P26">
            <v>6.6</v>
          </cell>
          <cell r="Q26">
            <v>6</v>
          </cell>
          <cell r="R26">
            <v>6.6</v>
          </cell>
          <cell r="S26">
            <v>2</v>
          </cell>
          <cell r="T26">
            <v>1600</v>
          </cell>
          <cell r="U26">
            <v>0</v>
          </cell>
          <cell r="V26">
            <v>0</v>
          </cell>
          <cell r="W26">
            <v>6</v>
          </cell>
          <cell r="X26">
            <v>1.6</v>
          </cell>
          <cell r="Y26">
            <v>800</v>
          </cell>
          <cell r="Z26">
            <v>800</v>
          </cell>
          <cell r="AA26">
            <v>9</v>
          </cell>
        </row>
        <row r="27">
          <cell r="E27">
            <v>197</v>
          </cell>
          <cell r="F27">
            <v>6080</v>
          </cell>
          <cell r="G27">
            <v>229</v>
          </cell>
          <cell r="H27">
            <v>814.8</v>
          </cell>
          <cell r="I27">
            <v>51</v>
          </cell>
          <cell r="J27">
            <v>112.4</v>
          </cell>
          <cell r="K27">
            <v>62.6</v>
          </cell>
          <cell r="S27">
            <v>6</v>
          </cell>
          <cell r="T27">
            <v>4290</v>
          </cell>
          <cell r="U27">
            <v>0</v>
          </cell>
          <cell r="V27">
            <v>0</v>
          </cell>
          <cell r="W27">
            <v>6</v>
          </cell>
          <cell r="X27">
            <v>15.6</v>
          </cell>
          <cell r="Z27">
            <v>2500</v>
          </cell>
          <cell r="AA27">
            <v>9</v>
          </cell>
        </row>
        <row r="28">
          <cell r="E28">
            <v>165</v>
          </cell>
          <cell r="F28">
            <v>6710</v>
          </cell>
          <cell r="G28">
            <v>211</v>
          </cell>
          <cell r="H28">
            <v>573.3</v>
          </cell>
          <cell r="I28">
            <v>52.8</v>
          </cell>
          <cell r="J28">
            <v>101.3</v>
          </cell>
          <cell r="K28">
            <v>100.9</v>
          </cell>
          <cell r="M28">
            <v>5500</v>
          </cell>
          <cell r="N28">
            <v>17</v>
          </cell>
          <cell r="O28">
            <v>0</v>
          </cell>
          <cell r="P28">
            <v>0.7</v>
          </cell>
          <cell r="Q28">
            <v>6</v>
          </cell>
          <cell r="R28">
            <v>0.7</v>
          </cell>
          <cell r="S28">
            <v>8</v>
          </cell>
          <cell r="T28">
            <v>2500</v>
          </cell>
          <cell r="U28">
            <v>0</v>
          </cell>
          <cell r="V28">
            <v>0</v>
          </cell>
          <cell r="W28">
            <v>6</v>
          </cell>
          <cell r="X28">
            <v>17.8</v>
          </cell>
          <cell r="Y28">
            <v>1200</v>
          </cell>
          <cell r="Z28">
            <v>4200</v>
          </cell>
          <cell r="AA28">
            <v>27</v>
          </cell>
        </row>
        <row r="29">
          <cell r="E29">
            <v>25</v>
          </cell>
          <cell r="G29">
            <v>31</v>
          </cell>
          <cell r="H29">
            <v>5.75</v>
          </cell>
          <cell r="I29">
            <v>10.63</v>
          </cell>
          <cell r="J29">
            <v>9.75</v>
          </cell>
          <cell r="K29">
            <v>6.79</v>
          </cell>
          <cell r="M29">
            <v>3.23</v>
          </cell>
          <cell r="N29">
            <v>2</v>
          </cell>
          <cell r="Q29">
            <v>6</v>
          </cell>
          <cell r="R29">
            <v>2.4</v>
          </cell>
          <cell r="S29">
            <v>6</v>
          </cell>
          <cell r="T29">
            <v>200</v>
          </cell>
          <cell r="U29" t="str">
            <v>35/2</v>
          </cell>
          <cell r="W29" t="str">
            <v>110/5</v>
          </cell>
          <cell r="Y29">
            <v>6500</v>
          </cell>
          <cell r="Z29">
            <v>50000</v>
          </cell>
          <cell r="AA29">
            <v>160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изв."/>
      <sheetName val="обслуж."/>
      <sheetName val="Лист3"/>
    </sheetNames>
    <sheetDataSet>
      <sheetData sheetId="0">
        <row r="4">
          <cell r="B4">
            <v>1</v>
          </cell>
          <cell r="C4">
            <v>5</v>
          </cell>
          <cell r="D4">
            <v>45</v>
          </cell>
          <cell r="E4">
            <v>7.777777777777778</v>
          </cell>
          <cell r="G4">
            <v>318.75</v>
          </cell>
          <cell r="H4">
            <v>63.75</v>
          </cell>
        </row>
        <row r="7">
          <cell r="A7" t="str">
            <v>ТА</v>
          </cell>
          <cell r="B7">
            <v>200</v>
          </cell>
          <cell r="C7">
            <v>10</v>
          </cell>
          <cell r="D7">
            <v>30</v>
          </cell>
          <cell r="E7">
            <v>2400</v>
          </cell>
          <cell r="G7">
            <v>83.33333333333334</v>
          </cell>
          <cell r="H7">
            <v>8.333333333333334</v>
          </cell>
        </row>
        <row r="11">
          <cell r="B11">
            <v>1</v>
          </cell>
          <cell r="C11">
            <v>80</v>
          </cell>
          <cell r="D11">
            <v>30</v>
          </cell>
          <cell r="E11">
            <v>12</v>
          </cell>
          <cell r="G11">
            <v>66.66666666666667</v>
          </cell>
          <cell r="H11">
            <v>0.8333333333333334</v>
          </cell>
        </row>
      </sheetData>
      <sheetData sheetId="1">
        <row r="4">
          <cell r="D4">
            <v>53</v>
          </cell>
        </row>
        <row r="7">
          <cell r="D7">
            <v>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6">
          <cell r="H6">
            <v>17.30537142857143</v>
          </cell>
        </row>
        <row r="7">
          <cell r="H7">
            <v>23.07942857142857</v>
          </cell>
        </row>
        <row r="8">
          <cell r="H8">
            <v>6.547200000000001</v>
          </cell>
        </row>
        <row r="9">
          <cell r="H9">
            <v>16.08857142857143</v>
          </cell>
        </row>
        <row r="10">
          <cell r="H10">
            <v>50.76822857142857</v>
          </cell>
        </row>
        <row r="11">
          <cell r="H11">
            <v>1.7112</v>
          </cell>
        </row>
        <row r="13">
          <cell r="H13">
            <v>92.34171428571429</v>
          </cell>
        </row>
        <row r="15">
          <cell r="H15">
            <v>15.419314285714288</v>
          </cell>
        </row>
        <row r="16">
          <cell r="H16">
            <v>3.0329142857142863</v>
          </cell>
        </row>
        <row r="17">
          <cell r="H17">
            <v>2.901257142857143</v>
          </cell>
        </row>
        <row r="18">
          <cell r="H18">
            <v>3.3894857142857147</v>
          </cell>
        </row>
        <row r="19">
          <cell r="H19">
            <v>45.252342857142864</v>
          </cell>
        </row>
        <row r="20">
          <cell r="H20">
            <v>2.3718857142857144</v>
          </cell>
        </row>
        <row r="21">
          <cell r="H21">
            <v>208.64640000000003</v>
          </cell>
        </row>
        <row r="22">
          <cell r="H22">
            <v>40.47257142857143</v>
          </cell>
        </row>
        <row r="23">
          <cell r="H23">
            <v>95.8985142857143</v>
          </cell>
        </row>
        <row r="24">
          <cell r="H24">
            <v>88.50171428571427</v>
          </cell>
        </row>
        <row r="25">
          <cell r="H25">
            <v>8.468228571428572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7"/>
  <sheetViews>
    <sheetView view="pageBreakPreview" zoomScale="50" zoomScaleNormal="40" zoomScaleSheetLayoutView="50" workbookViewId="0" topLeftCell="A41">
      <selection activeCell="C49" sqref="C49"/>
    </sheetView>
  </sheetViews>
  <sheetFormatPr defaultColWidth="9.00390625" defaultRowHeight="12.75"/>
  <cols>
    <col min="1" max="1" width="11.75390625" style="215" customWidth="1"/>
    <col min="2" max="2" width="46.75390625" style="30" customWidth="1"/>
    <col min="3" max="3" width="24.625" style="30" customWidth="1"/>
    <col min="4" max="4" width="14.125" style="27" customWidth="1"/>
    <col min="5" max="5" width="14.25390625" style="30" customWidth="1"/>
    <col min="6" max="6" width="17.25390625" style="30" customWidth="1"/>
    <col min="7" max="7" width="93.125" style="30" customWidth="1"/>
    <col min="8" max="8" width="14.375" style="30" customWidth="1"/>
    <col min="9" max="9" width="20.375" style="30" customWidth="1"/>
    <col min="10" max="10" width="46.125" style="30" customWidth="1"/>
    <col min="11" max="11" width="10.00390625" style="30" customWidth="1"/>
    <col min="12" max="12" width="17.75390625" style="30" customWidth="1"/>
    <col min="13" max="13" width="36.75390625" style="30" customWidth="1"/>
    <col min="14" max="14" width="29.875" style="30" customWidth="1"/>
    <col min="15" max="15" width="21.125" style="30" customWidth="1"/>
    <col min="16" max="16" width="9.125" style="30" customWidth="1"/>
    <col min="17" max="17" width="37.00390625" style="30" customWidth="1"/>
    <col min="18" max="16384" width="9.125" style="30" customWidth="1"/>
  </cols>
  <sheetData>
    <row r="1" spans="1:15" s="163" customFormat="1" ht="59.25" customHeight="1" thickBot="1">
      <c r="A1" s="752" t="s">
        <v>461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3"/>
      <c r="O1" s="753"/>
    </row>
    <row r="2" spans="1:15" ht="45.75" customHeight="1">
      <c r="A2" s="754" t="s">
        <v>382</v>
      </c>
      <c r="B2" s="746" t="s">
        <v>508</v>
      </c>
      <c r="C2" s="742"/>
      <c r="D2" s="750" t="s">
        <v>620</v>
      </c>
      <c r="E2" s="744" t="s">
        <v>166</v>
      </c>
      <c r="F2" s="744" t="s">
        <v>511</v>
      </c>
      <c r="G2" s="746" t="s">
        <v>512</v>
      </c>
      <c r="H2" s="746"/>
      <c r="I2" s="746"/>
      <c r="J2" s="746"/>
      <c r="K2" s="746"/>
      <c r="L2" s="746"/>
      <c r="M2" s="742" t="s">
        <v>611</v>
      </c>
      <c r="N2" s="742" t="s">
        <v>167</v>
      </c>
      <c r="O2" s="740" t="s">
        <v>517</v>
      </c>
    </row>
    <row r="3" spans="1:15" ht="31.5" customHeight="1">
      <c r="A3" s="755"/>
      <c r="B3" s="747" t="s">
        <v>509</v>
      </c>
      <c r="C3" s="747"/>
      <c r="D3" s="751"/>
      <c r="E3" s="745"/>
      <c r="F3" s="745"/>
      <c r="G3" s="747" t="s">
        <v>513</v>
      </c>
      <c r="H3" s="747"/>
      <c r="I3" s="747"/>
      <c r="J3" s="747" t="s">
        <v>460</v>
      </c>
      <c r="K3" s="747"/>
      <c r="L3" s="747"/>
      <c r="M3" s="743"/>
      <c r="N3" s="743"/>
      <c r="O3" s="741"/>
    </row>
    <row r="4" spans="1:15" ht="103.5" customHeight="1">
      <c r="A4" s="755"/>
      <c r="B4" s="10" t="s">
        <v>130</v>
      </c>
      <c r="C4" s="10" t="s">
        <v>510</v>
      </c>
      <c r="D4" s="751"/>
      <c r="E4" s="745"/>
      <c r="F4" s="745"/>
      <c r="G4" s="10" t="s">
        <v>129</v>
      </c>
      <c r="H4" s="210" t="s">
        <v>514</v>
      </c>
      <c r="I4" s="210" t="s">
        <v>515</v>
      </c>
      <c r="J4" s="10" t="s">
        <v>126</v>
      </c>
      <c r="K4" s="210" t="s">
        <v>514</v>
      </c>
      <c r="L4" s="210" t="s">
        <v>515</v>
      </c>
      <c r="M4" s="743"/>
      <c r="N4" s="743"/>
      <c r="O4" s="741"/>
    </row>
    <row r="5" spans="1:15" s="524" customFormat="1" ht="18" customHeight="1">
      <c r="A5" s="521">
        <v>1</v>
      </c>
      <c r="B5" s="522">
        <v>2</v>
      </c>
      <c r="C5" s="522">
        <v>3</v>
      </c>
      <c r="D5" s="522">
        <v>4</v>
      </c>
      <c r="E5" s="522">
        <v>5</v>
      </c>
      <c r="F5" s="522">
        <v>6</v>
      </c>
      <c r="G5" s="522">
        <v>7</v>
      </c>
      <c r="H5" s="522">
        <v>8</v>
      </c>
      <c r="I5" s="522">
        <v>9</v>
      </c>
      <c r="J5" s="522">
        <v>10</v>
      </c>
      <c r="K5" s="522"/>
      <c r="L5" s="522">
        <v>11</v>
      </c>
      <c r="M5" s="522">
        <v>12</v>
      </c>
      <c r="N5" s="522">
        <v>13</v>
      </c>
      <c r="O5" s="523">
        <v>14</v>
      </c>
    </row>
    <row r="6" spans="1:15" s="254" customFormat="1" ht="51.75" customHeight="1">
      <c r="A6" s="545"/>
      <c r="B6" s="546" t="s">
        <v>518</v>
      </c>
      <c r="C6" s="292"/>
      <c r="D6" s="293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547"/>
    </row>
    <row r="7" spans="1:15" s="529" customFormat="1" ht="96" customHeight="1">
      <c r="A7" s="525">
        <v>1</v>
      </c>
      <c r="B7" s="526" t="s">
        <v>519</v>
      </c>
      <c r="C7" s="526" t="s">
        <v>103</v>
      </c>
      <c r="D7" s="527">
        <f>'сравнение затрат до и после Зах'!E8</f>
        <v>2.54</v>
      </c>
      <c r="E7" s="526" t="s">
        <v>520</v>
      </c>
      <c r="F7" s="526" t="s">
        <v>521</v>
      </c>
      <c r="G7" s="526" t="s">
        <v>169</v>
      </c>
      <c r="H7" s="526">
        <v>296</v>
      </c>
      <c r="I7" s="526">
        <v>15433</v>
      </c>
      <c r="J7" s="526"/>
      <c r="K7" s="526"/>
      <c r="L7" s="526"/>
      <c r="M7" s="526" t="s">
        <v>168</v>
      </c>
      <c r="N7" s="526" t="s">
        <v>131</v>
      </c>
      <c r="O7" s="528" t="s">
        <v>109</v>
      </c>
    </row>
    <row r="8" spans="1:15" s="531" customFormat="1" ht="81.75" customHeight="1">
      <c r="A8" s="525">
        <v>2</v>
      </c>
      <c r="B8" s="526" t="s">
        <v>519</v>
      </c>
      <c r="C8" s="526" t="s">
        <v>104</v>
      </c>
      <c r="D8" s="527">
        <f>'сравнение затрат до и после Зах'!E9</f>
        <v>1.91</v>
      </c>
      <c r="E8" s="526" t="s">
        <v>520</v>
      </c>
      <c r="F8" s="526" t="s">
        <v>521</v>
      </c>
      <c r="G8" s="526" t="s">
        <v>170</v>
      </c>
      <c r="H8" s="530">
        <v>226</v>
      </c>
      <c r="I8" s="530">
        <v>10295</v>
      </c>
      <c r="J8" s="530"/>
      <c r="K8" s="530"/>
      <c r="L8" s="526"/>
      <c r="M8" s="526" t="s">
        <v>168</v>
      </c>
      <c r="N8" s="526" t="s">
        <v>131</v>
      </c>
      <c r="O8" s="528" t="s">
        <v>109</v>
      </c>
    </row>
    <row r="9" spans="1:15" s="531" customFormat="1" ht="82.5" customHeight="1">
      <c r="A9" s="525">
        <v>3</v>
      </c>
      <c r="B9" s="526" t="s">
        <v>612</v>
      </c>
      <c r="C9" s="526" t="s">
        <v>767</v>
      </c>
      <c r="D9" s="527">
        <f>'сравнение затрат до и после Зах'!E10</f>
        <v>0.85</v>
      </c>
      <c r="E9" s="526" t="s">
        <v>520</v>
      </c>
      <c r="F9" s="526" t="s">
        <v>521</v>
      </c>
      <c r="G9" s="526" t="s">
        <v>171</v>
      </c>
      <c r="H9" s="526">
        <v>48</v>
      </c>
      <c r="I9" s="526">
        <v>2647</v>
      </c>
      <c r="J9" s="526"/>
      <c r="K9" s="526"/>
      <c r="L9" s="526"/>
      <c r="M9" s="526" t="s">
        <v>168</v>
      </c>
      <c r="N9" s="526" t="s">
        <v>131</v>
      </c>
      <c r="O9" s="528" t="s">
        <v>109</v>
      </c>
    </row>
    <row r="10" spans="1:15" s="531" customFormat="1" ht="101.25" customHeight="1">
      <c r="A10" s="525">
        <v>4</v>
      </c>
      <c r="B10" s="526" t="s">
        <v>613</v>
      </c>
      <c r="C10" s="526" t="s">
        <v>105</v>
      </c>
      <c r="D10" s="527">
        <f>'сравнение затрат до и после Зах'!E11</f>
        <v>1.12</v>
      </c>
      <c r="E10" s="526" t="s">
        <v>520</v>
      </c>
      <c r="F10" s="526" t="s">
        <v>521</v>
      </c>
      <c r="G10" s="526" t="s">
        <v>172</v>
      </c>
      <c r="H10" s="530">
        <v>99</v>
      </c>
      <c r="I10" s="526">
        <v>5036</v>
      </c>
      <c r="J10" s="530"/>
      <c r="K10" s="530"/>
      <c r="L10" s="526"/>
      <c r="M10" s="526" t="s">
        <v>168</v>
      </c>
      <c r="N10" s="526" t="s">
        <v>131</v>
      </c>
      <c r="O10" s="528" t="s">
        <v>109</v>
      </c>
    </row>
    <row r="11" spans="1:15" s="531" customFormat="1" ht="95.25" customHeight="1">
      <c r="A11" s="525">
        <v>5</v>
      </c>
      <c r="B11" s="526" t="s">
        <v>175</v>
      </c>
      <c r="C11" s="526" t="s">
        <v>688</v>
      </c>
      <c r="D11" s="527">
        <f>'сравнение затрат до и после Зах'!E12</f>
        <v>1.12</v>
      </c>
      <c r="E11" s="526" t="s">
        <v>520</v>
      </c>
      <c r="F11" s="526" t="s">
        <v>521</v>
      </c>
      <c r="G11" s="526" t="s">
        <v>173</v>
      </c>
      <c r="H11" s="526">
        <v>120</v>
      </c>
      <c r="I11" s="526">
        <v>6705</v>
      </c>
      <c r="J11" s="526"/>
      <c r="K11" s="526"/>
      <c r="L11" s="526"/>
      <c r="M11" s="526" t="s">
        <v>615</v>
      </c>
      <c r="N11" s="526" t="s">
        <v>131</v>
      </c>
      <c r="O11" s="528" t="s">
        <v>109</v>
      </c>
    </row>
    <row r="12" spans="1:15" s="531" customFormat="1" ht="95.25" customHeight="1">
      <c r="A12" s="525">
        <v>6</v>
      </c>
      <c r="B12" s="526" t="s">
        <v>176</v>
      </c>
      <c r="C12" s="526" t="s">
        <v>689</v>
      </c>
      <c r="D12" s="527">
        <f>'сравнение затрат до и после Зах'!E13</f>
        <v>1.1</v>
      </c>
      <c r="E12" s="526" t="s">
        <v>520</v>
      </c>
      <c r="F12" s="526" t="s">
        <v>521</v>
      </c>
      <c r="G12" s="526"/>
      <c r="H12" s="526"/>
      <c r="I12" s="526"/>
      <c r="J12" s="526" t="s">
        <v>189</v>
      </c>
      <c r="K12" s="526">
        <v>1</v>
      </c>
      <c r="L12" s="526">
        <v>3060</v>
      </c>
      <c r="M12" s="526" t="s">
        <v>617</v>
      </c>
      <c r="N12" s="526" t="s">
        <v>131</v>
      </c>
      <c r="O12" s="528" t="s">
        <v>109</v>
      </c>
    </row>
    <row r="13" spans="1:15" s="531" customFormat="1" ht="89.25" customHeight="1">
      <c r="A13" s="525">
        <v>7</v>
      </c>
      <c r="B13" s="526" t="s">
        <v>177</v>
      </c>
      <c r="C13" s="526" t="s">
        <v>688</v>
      </c>
      <c r="D13" s="527">
        <f>'сравнение затрат до и после Зах'!E14</f>
        <v>1.1</v>
      </c>
      <c r="E13" s="526" t="s">
        <v>520</v>
      </c>
      <c r="F13" s="526" t="s">
        <v>521</v>
      </c>
      <c r="G13" s="526"/>
      <c r="H13" s="526"/>
      <c r="I13" s="526"/>
      <c r="J13" s="526" t="s">
        <v>190</v>
      </c>
      <c r="K13" s="526">
        <v>1</v>
      </c>
      <c r="L13" s="526">
        <v>2200</v>
      </c>
      <c r="M13" s="526" t="s">
        <v>617</v>
      </c>
      <c r="N13" s="526" t="s">
        <v>131</v>
      </c>
      <c r="O13" s="528" t="s">
        <v>109</v>
      </c>
    </row>
    <row r="14" spans="1:15" s="531" customFormat="1" ht="78.75" customHeight="1">
      <c r="A14" s="525">
        <v>8</v>
      </c>
      <c r="B14" s="526" t="s">
        <v>178</v>
      </c>
      <c r="C14" s="526" t="s">
        <v>689</v>
      </c>
      <c r="D14" s="527">
        <f>'сравнение затрат до и после Зах'!E15</f>
        <v>1.32</v>
      </c>
      <c r="E14" s="526" t="s">
        <v>520</v>
      </c>
      <c r="F14" s="526" t="s">
        <v>521</v>
      </c>
      <c r="G14" s="530"/>
      <c r="H14" s="530"/>
      <c r="I14" s="530"/>
      <c r="J14" s="530" t="s">
        <v>188</v>
      </c>
      <c r="K14" s="530">
        <v>1</v>
      </c>
      <c r="L14" s="526">
        <v>5098</v>
      </c>
      <c r="M14" s="526" t="s">
        <v>617</v>
      </c>
      <c r="N14" s="526" t="s">
        <v>131</v>
      </c>
      <c r="O14" s="528" t="s">
        <v>109</v>
      </c>
    </row>
    <row r="15" spans="1:15" s="164" customFormat="1" ht="64.5" customHeight="1">
      <c r="A15" s="548"/>
      <c r="B15" s="549" t="s">
        <v>619</v>
      </c>
      <c r="C15" s="549">
        <f>A14</f>
        <v>8</v>
      </c>
      <c r="D15" s="550">
        <f>SUM(D7:D14)</f>
        <v>11.06</v>
      </c>
      <c r="E15" s="549"/>
      <c r="F15" s="549"/>
      <c r="G15" s="549"/>
      <c r="H15" s="549">
        <f>SUM(H7:H14)</f>
        <v>789</v>
      </c>
      <c r="I15" s="549">
        <f>SUM(I7:I14)</f>
        <v>40116</v>
      </c>
      <c r="J15" s="549"/>
      <c r="K15" s="549">
        <f>SUM(K7:K14)</f>
        <v>3</v>
      </c>
      <c r="L15" s="549">
        <f>SUM(L7:L14)</f>
        <v>10358</v>
      </c>
      <c r="M15" s="549"/>
      <c r="N15" s="549" t="s">
        <v>136</v>
      </c>
      <c r="O15" s="551"/>
    </row>
    <row r="16" spans="1:15" s="164" customFormat="1" ht="45.75" customHeight="1">
      <c r="A16" s="545"/>
      <c r="B16" s="552" t="s">
        <v>622</v>
      </c>
      <c r="C16" s="546"/>
      <c r="D16" s="553"/>
      <c r="E16" s="546"/>
      <c r="F16" s="546"/>
      <c r="G16" s="229"/>
      <c r="H16" s="229"/>
      <c r="I16" s="229"/>
      <c r="J16" s="229"/>
      <c r="K16" s="229"/>
      <c r="L16" s="546"/>
      <c r="M16" s="546"/>
      <c r="N16" s="546"/>
      <c r="O16" s="554"/>
    </row>
    <row r="17" spans="1:15" s="531" customFormat="1" ht="73.5" customHeight="1">
      <c r="A17" s="756">
        <v>1</v>
      </c>
      <c r="B17" s="739" t="s">
        <v>640</v>
      </c>
      <c r="C17" s="739" t="s">
        <v>179</v>
      </c>
      <c r="D17" s="527">
        <f>'сравнение затрат до и после Зах'!E18</f>
        <v>2.95</v>
      </c>
      <c r="E17" s="739" t="s">
        <v>520</v>
      </c>
      <c r="F17" s="739" t="s">
        <v>788</v>
      </c>
      <c r="G17" s="532" t="s">
        <v>182</v>
      </c>
      <c r="H17" s="530">
        <v>719</v>
      </c>
      <c r="I17" s="530">
        <v>30969</v>
      </c>
      <c r="J17" s="533"/>
      <c r="K17" s="533"/>
      <c r="L17" s="526"/>
      <c r="M17" s="739" t="s">
        <v>625</v>
      </c>
      <c r="N17" s="526" t="s">
        <v>131</v>
      </c>
      <c r="O17" s="528" t="s">
        <v>109</v>
      </c>
    </row>
    <row r="18" spans="1:15" s="531" customFormat="1" ht="60.75" customHeight="1">
      <c r="A18" s="757"/>
      <c r="B18" s="739"/>
      <c r="C18" s="739"/>
      <c r="D18" s="527">
        <f>'сравнение затрат до и после Зах'!E19</f>
        <v>0.1</v>
      </c>
      <c r="E18" s="739"/>
      <c r="F18" s="739"/>
      <c r="G18" s="532"/>
      <c r="H18" s="530"/>
      <c r="I18" s="530"/>
      <c r="J18" s="534" t="s">
        <v>623</v>
      </c>
      <c r="K18" s="534">
        <v>1</v>
      </c>
      <c r="L18" s="526">
        <v>1021</v>
      </c>
      <c r="M18" s="739"/>
      <c r="N18" s="526" t="s">
        <v>131</v>
      </c>
      <c r="O18" s="528" t="s">
        <v>109</v>
      </c>
    </row>
    <row r="19" spans="1:15" s="531" customFormat="1" ht="66" customHeight="1">
      <c r="A19" s="756">
        <v>2</v>
      </c>
      <c r="B19" s="739" t="s">
        <v>641</v>
      </c>
      <c r="C19" s="739" t="s">
        <v>180</v>
      </c>
      <c r="D19" s="527">
        <f>'сравнение затрат до и после Зах'!E20</f>
        <v>2.31</v>
      </c>
      <c r="E19" s="739" t="s">
        <v>520</v>
      </c>
      <c r="F19" s="739" t="s">
        <v>788</v>
      </c>
      <c r="G19" s="534" t="s">
        <v>183</v>
      </c>
      <c r="H19" s="526">
        <v>439</v>
      </c>
      <c r="I19" s="526">
        <v>21481</v>
      </c>
      <c r="J19" s="526"/>
      <c r="K19" s="526"/>
      <c r="L19" s="526">
        <v>7902</v>
      </c>
      <c r="M19" s="739" t="s">
        <v>625</v>
      </c>
      <c r="N19" s="526" t="s">
        <v>131</v>
      </c>
      <c r="O19" s="528" t="s">
        <v>109</v>
      </c>
    </row>
    <row r="20" spans="1:15" s="531" customFormat="1" ht="66" customHeight="1">
      <c r="A20" s="757"/>
      <c r="B20" s="739"/>
      <c r="C20" s="739"/>
      <c r="D20" s="527">
        <f>'сравнение затрат до и после Зах'!E21</f>
        <v>0.07</v>
      </c>
      <c r="E20" s="739"/>
      <c r="F20" s="739"/>
      <c r="G20" s="534" t="s">
        <v>181</v>
      </c>
      <c r="H20" s="526"/>
      <c r="I20" s="526"/>
      <c r="J20" s="526" t="s">
        <v>870</v>
      </c>
      <c r="K20" s="526">
        <v>1</v>
      </c>
      <c r="L20" s="526">
        <v>3304</v>
      </c>
      <c r="M20" s="739"/>
      <c r="N20" s="526" t="s">
        <v>131</v>
      </c>
      <c r="O20" s="528" t="s">
        <v>109</v>
      </c>
    </row>
    <row r="21" spans="1:15" s="531" customFormat="1" ht="69" customHeight="1">
      <c r="A21" s="757"/>
      <c r="B21" s="739"/>
      <c r="C21" s="739"/>
      <c r="D21" s="527">
        <f>'сравнение затрат до и после Зах'!E22</f>
        <v>0.05</v>
      </c>
      <c r="E21" s="739"/>
      <c r="F21" s="739"/>
      <c r="G21" s="533"/>
      <c r="H21" s="526"/>
      <c r="I21" s="526"/>
      <c r="J21" s="526" t="s">
        <v>871</v>
      </c>
      <c r="K21" s="526">
        <v>1</v>
      </c>
      <c r="L21" s="526">
        <v>443</v>
      </c>
      <c r="M21" s="739"/>
      <c r="N21" s="526" t="s">
        <v>131</v>
      </c>
      <c r="O21" s="528" t="s">
        <v>109</v>
      </c>
    </row>
    <row r="22" spans="1:15" s="531" customFormat="1" ht="66" customHeight="1">
      <c r="A22" s="757"/>
      <c r="B22" s="739"/>
      <c r="C22" s="749"/>
      <c r="D22" s="527">
        <f>'сравнение затрат до и после Зах'!E23</f>
        <v>0.03</v>
      </c>
      <c r="E22" s="739"/>
      <c r="F22" s="739"/>
      <c r="G22" s="534"/>
      <c r="H22" s="526"/>
      <c r="I22" s="526"/>
      <c r="J22" s="533" t="s">
        <v>872</v>
      </c>
      <c r="K22" s="533">
        <v>1</v>
      </c>
      <c r="L22" s="526">
        <v>425</v>
      </c>
      <c r="M22" s="739"/>
      <c r="N22" s="526" t="s">
        <v>131</v>
      </c>
      <c r="O22" s="528" t="s">
        <v>109</v>
      </c>
    </row>
    <row r="23" spans="1:15" s="531" customFormat="1" ht="58.5" customHeight="1">
      <c r="A23" s="525">
        <v>3</v>
      </c>
      <c r="B23" s="526" t="s">
        <v>626</v>
      </c>
      <c r="C23" s="526" t="s">
        <v>689</v>
      </c>
      <c r="D23" s="527">
        <f>'сравнение затрат до и после Зах'!E24</f>
        <v>0.14</v>
      </c>
      <c r="E23" s="526" t="s">
        <v>520</v>
      </c>
      <c r="F23" s="526" t="s">
        <v>627</v>
      </c>
      <c r="G23" s="526" t="s">
        <v>187</v>
      </c>
      <c r="H23" s="526">
        <v>30</v>
      </c>
      <c r="I23" s="526">
        <v>1770</v>
      </c>
      <c r="J23" s="526"/>
      <c r="K23" s="526"/>
      <c r="L23" s="526"/>
      <c r="M23" s="526" t="s">
        <v>628</v>
      </c>
      <c r="N23" s="533" t="s">
        <v>133</v>
      </c>
      <c r="O23" s="535" t="s">
        <v>132</v>
      </c>
    </row>
    <row r="24" spans="1:15" s="164" customFormat="1" ht="66" customHeight="1">
      <c r="A24" s="548"/>
      <c r="B24" s="549" t="s">
        <v>629</v>
      </c>
      <c r="C24" s="549">
        <f>A23</f>
        <v>3</v>
      </c>
      <c r="D24" s="550">
        <f>SUM(D17:D23)</f>
        <v>5.65</v>
      </c>
      <c r="E24" s="549"/>
      <c r="F24" s="549"/>
      <c r="G24" s="549"/>
      <c r="H24" s="549">
        <f>SUM(H17:H23)</f>
        <v>1188</v>
      </c>
      <c r="I24" s="549">
        <f>SUM(I17:I23)</f>
        <v>54220</v>
      </c>
      <c r="J24" s="549"/>
      <c r="K24" s="549">
        <f>SUM(K17:K23)</f>
        <v>4</v>
      </c>
      <c r="L24" s="549">
        <f>SUM(L17:L23)</f>
        <v>13095</v>
      </c>
      <c r="M24" s="549"/>
      <c r="N24" s="549" t="s">
        <v>184</v>
      </c>
      <c r="O24" s="551"/>
    </row>
    <row r="25" spans="1:15" s="541" customFormat="1" ht="32.25" customHeight="1">
      <c r="A25" s="536"/>
      <c r="B25" s="537" t="s">
        <v>630</v>
      </c>
      <c r="C25" s="537"/>
      <c r="D25" s="538"/>
      <c r="E25" s="537"/>
      <c r="F25" s="537"/>
      <c r="G25" s="539"/>
      <c r="H25" s="539"/>
      <c r="I25" s="539"/>
      <c r="J25" s="539"/>
      <c r="K25" s="539"/>
      <c r="L25" s="537"/>
      <c r="M25" s="537"/>
      <c r="N25" s="537"/>
      <c r="O25" s="540"/>
    </row>
    <row r="26" spans="1:15" s="531" customFormat="1" ht="74.25" customHeight="1">
      <c r="A26" s="525">
        <v>1</v>
      </c>
      <c r="B26" s="526" t="s">
        <v>631</v>
      </c>
      <c r="C26" s="526" t="s">
        <v>689</v>
      </c>
      <c r="D26" s="527">
        <f>'сравнение затрат до и после Зах'!E27</f>
        <v>0.636</v>
      </c>
      <c r="E26" s="526" t="s">
        <v>520</v>
      </c>
      <c r="F26" s="526" t="s">
        <v>627</v>
      </c>
      <c r="G26" s="530"/>
      <c r="H26" s="530"/>
      <c r="I26" s="530"/>
      <c r="J26" s="530" t="s">
        <v>192</v>
      </c>
      <c r="K26" s="530">
        <v>1</v>
      </c>
      <c r="L26" s="526">
        <v>2500</v>
      </c>
      <c r="M26" s="526" t="s">
        <v>632</v>
      </c>
      <c r="N26" s="526" t="s">
        <v>131</v>
      </c>
      <c r="O26" s="528" t="s">
        <v>109</v>
      </c>
    </row>
    <row r="27" spans="1:15" s="531" customFormat="1" ht="57.75" customHeight="1">
      <c r="A27" s="525">
        <v>2</v>
      </c>
      <c r="B27" s="526" t="s">
        <v>633</v>
      </c>
      <c r="C27" s="526" t="s">
        <v>689</v>
      </c>
      <c r="D27" s="527">
        <f>'сравнение затрат до и после Зах'!E28</f>
        <v>0.48</v>
      </c>
      <c r="E27" s="526" t="s">
        <v>520</v>
      </c>
      <c r="F27" s="526" t="s">
        <v>627</v>
      </c>
      <c r="G27" s="530"/>
      <c r="H27" s="530"/>
      <c r="I27" s="530"/>
      <c r="J27" s="530" t="s">
        <v>191</v>
      </c>
      <c r="K27" s="530">
        <v>1</v>
      </c>
      <c r="L27" s="526">
        <v>2310</v>
      </c>
      <c r="M27" s="526" t="s">
        <v>632</v>
      </c>
      <c r="N27" s="526" t="s">
        <v>131</v>
      </c>
      <c r="O27" s="528" t="s">
        <v>109</v>
      </c>
    </row>
    <row r="28" spans="1:15" s="531" customFormat="1" ht="55.5" customHeight="1">
      <c r="A28" s="525">
        <v>3</v>
      </c>
      <c r="B28" s="526" t="s">
        <v>634</v>
      </c>
      <c r="C28" s="526" t="s">
        <v>689</v>
      </c>
      <c r="D28" s="527">
        <f>'сравнение затрат до и после Зах'!E29</f>
        <v>0.48</v>
      </c>
      <c r="E28" s="526" t="s">
        <v>520</v>
      </c>
      <c r="F28" s="526" t="s">
        <v>627</v>
      </c>
      <c r="G28" s="530"/>
      <c r="H28" s="530"/>
      <c r="I28" s="530"/>
      <c r="J28" s="530" t="s">
        <v>193</v>
      </c>
      <c r="K28" s="530">
        <v>1</v>
      </c>
      <c r="L28" s="526">
        <v>3869</v>
      </c>
      <c r="M28" s="526" t="s">
        <v>632</v>
      </c>
      <c r="N28" s="526" t="s">
        <v>131</v>
      </c>
      <c r="O28" s="528" t="s">
        <v>109</v>
      </c>
    </row>
    <row r="29" spans="1:15" s="531" customFormat="1" ht="67.5" customHeight="1">
      <c r="A29" s="525"/>
      <c r="B29" s="526" t="s">
        <v>635</v>
      </c>
      <c r="C29" s="542"/>
      <c r="D29" s="527">
        <v>1.24</v>
      </c>
      <c r="E29" s="526" t="s">
        <v>520</v>
      </c>
      <c r="F29" s="739" t="s">
        <v>636</v>
      </c>
      <c r="G29" s="530" t="s">
        <v>185</v>
      </c>
      <c r="H29" s="530">
        <v>107</v>
      </c>
      <c r="I29" s="530">
        <v>5972</v>
      </c>
      <c r="J29" s="530"/>
      <c r="K29" s="530"/>
      <c r="L29" s="526"/>
      <c r="M29" s="526" t="s">
        <v>638</v>
      </c>
      <c r="N29" s="526" t="s">
        <v>131</v>
      </c>
      <c r="O29" s="528" t="s">
        <v>109</v>
      </c>
    </row>
    <row r="30" spans="1:15" s="531" customFormat="1" ht="50.25" customHeight="1">
      <c r="A30" s="525"/>
      <c r="B30" s="526" t="s">
        <v>637</v>
      </c>
      <c r="C30" s="542"/>
      <c r="D30" s="527">
        <v>0.53</v>
      </c>
      <c r="E30" s="526" t="s">
        <v>520</v>
      </c>
      <c r="F30" s="739"/>
      <c r="G30" s="530" t="s">
        <v>186</v>
      </c>
      <c r="H30" s="530">
        <v>79</v>
      </c>
      <c r="I30" s="530">
        <v>4445</v>
      </c>
      <c r="J30" s="530"/>
      <c r="K30" s="530"/>
      <c r="L30" s="526"/>
      <c r="M30" s="526" t="s">
        <v>638</v>
      </c>
      <c r="N30" s="526" t="s">
        <v>131</v>
      </c>
      <c r="O30" s="528" t="s">
        <v>109</v>
      </c>
    </row>
    <row r="31" spans="1:15" s="164" customFormat="1" ht="39" customHeight="1">
      <c r="A31" s="548"/>
      <c r="B31" s="549" t="s">
        <v>639</v>
      </c>
      <c r="C31" s="549">
        <f>A28</f>
        <v>3</v>
      </c>
      <c r="D31" s="550">
        <f>SUM(D26:D30)</f>
        <v>3.3660000000000005</v>
      </c>
      <c r="E31" s="549"/>
      <c r="F31" s="549"/>
      <c r="G31" s="549"/>
      <c r="H31" s="549">
        <f>SUM(H26:H30)</f>
        <v>186</v>
      </c>
      <c r="I31" s="549">
        <f>SUM(I26:I30)</f>
        <v>10417</v>
      </c>
      <c r="J31" s="549"/>
      <c r="K31" s="549">
        <f>SUM(K26:K30)</f>
        <v>3</v>
      </c>
      <c r="L31" s="549">
        <f>SUM(L26:L30)</f>
        <v>8679</v>
      </c>
      <c r="M31" s="549"/>
      <c r="N31" s="549" t="s">
        <v>137</v>
      </c>
      <c r="O31" s="551"/>
    </row>
    <row r="32" spans="1:15" s="163" customFormat="1" ht="32.25" customHeight="1">
      <c r="A32" s="110"/>
      <c r="B32" s="518" t="s">
        <v>194</v>
      </c>
      <c r="C32" s="518"/>
      <c r="D32" s="519"/>
      <c r="E32" s="518"/>
      <c r="F32" s="518"/>
      <c r="G32" s="148"/>
      <c r="H32" s="148"/>
      <c r="I32" s="148"/>
      <c r="J32" s="148"/>
      <c r="K32" s="148"/>
      <c r="L32" s="518"/>
      <c r="M32" s="518"/>
      <c r="N32" s="518"/>
      <c r="O32" s="520"/>
    </row>
    <row r="33" spans="1:15" s="531" customFormat="1" ht="75.75" customHeight="1">
      <c r="A33" s="525"/>
      <c r="B33" s="526" t="s">
        <v>875</v>
      </c>
      <c r="C33" s="526" t="s">
        <v>643</v>
      </c>
      <c r="D33" s="527">
        <f>'сравнение затрат до и после Зах'!E34</f>
        <v>0.25</v>
      </c>
      <c r="E33" s="526" t="s">
        <v>520</v>
      </c>
      <c r="F33" s="526" t="s">
        <v>521</v>
      </c>
      <c r="G33" s="530" t="s">
        <v>195</v>
      </c>
      <c r="H33" s="530">
        <v>52</v>
      </c>
      <c r="I33" s="530">
        <v>2548</v>
      </c>
      <c r="J33" s="530"/>
      <c r="K33" s="530"/>
      <c r="L33" s="526"/>
      <c r="M33" s="526" t="s">
        <v>645</v>
      </c>
      <c r="N33" s="533" t="s">
        <v>133</v>
      </c>
      <c r="O33" s="535" t="s">
        <v>132</v>
      </c>
    </row>
    <row r="34" spans="1:15" s="531" customFormat="1" ht="58.5" customHeight="1">
      <c r="A34" s="525"/>
      <c r="B34" s="526" t="s">
        <v>644</v>
      </c>
      <c r="C34" s="526" t="s">
        <v>643</v>
      </c>
      <c r="D34" s="527">
        <f>'сравнение затрат до и после Зах'!E35</f>
        <v>0.11</v>
      </c>
      <c r="E34" s="526" t="s">
        <v>520</v>
      </c>
      <c r="F34" s="526" t="s">
        <v>521</v>
      </c>
      <c r="G34" s="530" t="s">
        <v>196</v>
      </c>
      <c r="H34" s="530">
        <v>12</v>
      </c>
      <c r="I34" s="530">
        <v>1159</v>
      </c>
      <c r="J34" s="530"/>
      <c r="K34" s="530"/>
      <c r="L34" s="526"/>
      <c r="M34" s="526" t="s">
        <v>645</v>
      </c>
      <c r="N34" s="533" t="s">
        <v>133</v>
      </c>
      <c r="O34" s="535" t="s">
        <v>132</v>
      </c>
    </row>
    <row r="35" spans="1:15" s="531" customFormat="1" ht="67.5" customHeight="1">
      <c r="A35" s="525"/>
      <c r="B35" s="526" t="s">
        <v>646</v>
      </c>
      <c r="C35" s="526" t="s">
        <v>643</v>
      </c>
      <c r="D35" s="527">
        <f>'сравнение затрат до и после Зах'!E36</f>
        <v>0.46</v>
      </c>
      <c r="E35" s="526" t="s">
        <v>520</v>
      </c>
      <c r="F35" s="526" t="s">
        <v>521</v>
      </c>
      <c r="G35" s="530" t="s">
        <v>197</v>
      </c>
      <c r="H35" s="530">
        <v>86</v>
      </c>
      <c r="I35" s="530">
        <v>4334</v>
      </c>
      <c r="J35" s="530"/>
      <c r="K35" s="530"/>
      <c r="L35" s="526"/>
      <c r="M35" s="526" t="s">
        <v>645</v>
      </c>
      <c r="N35" s="533" t="s">
        <v>133</v>
      </c>
      <c r="O35" s="535" t="s">
        <v>132</v>
      </c>
    </row>
    <row r="36" spans="1:15" s="531" customFormat="1" ht="72.75" customHeight="1">
      <c r="A36" s="525"/>
      <c r="B36" s="526" t="s">
        <v>647</v>
      </c>
      <c r="C36" s="526" t="s">
        <v>643</v>
      </c>
      <c r="D36" s="527">
        <f>'сравнение затрат до и после Зах'!E37</f>
        <v>0.15</v>
      </c>
      <c r="E36" s="526" t="s">
        <v>520</v>
      </c>
      <c r="F36" s="526" t="s">
        <v>521</v>
      </c>
      <c r="G36" s="530" t="s">
        <v>206</v>
      </c>
      <c r="H36" s="530">
        <v>24</v>
      </c>
      <c r="I36" s="530">
        <v>1421</v>
      </c>
      <c r="J36" s="530"/>
      <c r="K36" s="530"/>
      <c r="L36" s="526"/>
      <c r="M36" s="526"/>
      <c r="N36" s="533" t="s">
        <v>133</v>
      </c>
      <c r="O36" s="535" t="s">
        <v>132</v>
      </c>
    </row>
    <row r="37" spans="1:15" s="531" customFormat="1" ht="69.75" customHeight="1">
      <c r="A37" s="525">
        <v>1</v>
      </c>
      <c r="B37" s="526" t="s">
        <v>648</v>
      </c>
      <c r="C37" s="526" t="s">
        <v>689</v>
      </c>
      <c r="D37" s="527">
        <v>0.07</v>
      </c>
      <c r="E37" s="526" t="s">
        <v>520</v>
      </c>
      <c r="F37" s="526" t="s">
        <v>521</v>
      </c>
      <c r="G37" s="530"/>
      <c r="H37" s="530"/>
      <c r="I37" s="530"/>
      <c r="J37" s="530" t="s">
        <v>198</v>
      </c>
      <c r="K37" s="530">
        <v>1</v>
      </c>
      <c r="L37" s="526">
        <v>3554</v>
      </c>
      <c r="M37" s="526" t="s">
        <v>649</v>
      </c>
      <c r="N37" s="526" t="s">
        <v>131</v>
      </c>
      <c r="O37" s="528" t="s">
        <v>109</v>
      </c>
    </row>
    <row r="38" spans="1:15" s="531" customFormat="1" ht="59.25" customHeight="1">
      <c r="A38" s="525">
        <v>2</v>
      </c>
      <c r="B38" s="526" t="s">
        <v>650</v>
      </c>
      <c r="C38" s="526" t="s">
        <v>689</v>
      </c>
      <c r="D38" s="527">
        <f>'сравнение затрат до и после Зах'!E39</f>
        <v>0.73</v>
      </c>
      <c r="E38" s="526" t="s">
        <v>520</v>
      </c>
      <c r="F38" s="526" t="s">
        <v>521</v>
      </c>
      <c r="G38" s="530"/>
      <c r="H38" s="530"/>
      <c r="I38" s="530"/>
      <c r="J38" s="530" t="s">
        <v>199</v>
      </c>
      <c r="K38" s="530">
        <v>1</v>
      </c>
      <c r="L38" s="526">
        <v>661</v>
      </c>
      <c r="M38" s="526" t="s">
        <v>649</v>
      </c>
      <c r="N38" s="526" t="s">
        <v>131</v>
      </c>
      <c r="O38" s="528" t="s">
        <v>109</v>
      </c>
    </row>
    <row r="39" spans="1:15" s="531" customFormat="1" ht="56.25" customHeight="1">
      <c r="A39" s="525">
        <v>3</v>
      </c>
      <c r="B39" s="526" t="s">
        <v>651</v>
      </c>
      <c r="C39" s="526" t="s">
        <v>689</v>
      </c>
      <c r="D39" s="527">
        <f>'сравнение затрат до и после Зах'!E40</f>
        <v>0.73</v>
      </c>
      <c r="E39" s="526" t="s">
        <v>520</v>
      </c>
      <c r="F39" s="526" t="s">
        <v>521</v>
      </c>
      <c r="G39" s="530"/>
      <c r="H39" s="530"/>
      <c r="I39" s="530"/>
      <c r="J39" s="530" t="s">
        <v>200</v>
      </c>
      <c r="K39" s="530">
        <v>1</v>
      </c>
      <c r="L39" s="526">
        <v>3300</v>
      </c>
      <c r="M39" s="526" t="s">
        <v>649</v>
      </c>
      <c r="N39" s="526" t="s">
        <v>131</v>
      </c>
      <c r="O39" s="528" t="s">
        <v>109</v>
      </c>
    </row>
    <row r="40" spans="1:15" s="531" customFormat="1" ht="50.25" customHeight="1">
      <c r="A40" s="525">
        <v>4</v>
      </c>
      <c r="B40" s="526" t="s">
        <v>652</v>
      </c>
      <c r="C40" s="526" t="s">
        <v>689</v>
      </c>
      <c r="D40" s="527">
        <f>'сравнение затрат до и после Зах'!E41</f>
        <v>0.62</v>
      </c>
      <c r="E40" s="526" t="s">
        <v>520</v>
      </c>
      <c r="F40" s="526" t="s">
        <v>521</v>
      </c>
      <c r="G40" s="530"/>
      <c r="H40" s="530"/>
      <c r="I40" s="530"/>
      <c r="J40" s="530" t="s">
        <v>201</v>
      </c>
      <c r="K40" s="530">
        <v>1</v>
      </c>
      <c r="L40" s="526">
        <v>2987</v>
      </c>
      <c r="M40" s="526" t="s">
        <v>649</v>
      </c>
      <c r="N40" s="526" t="s">
        <v>131</v>
      </c>
      <c r="O40" s="528" t="s">
        <v>109</v>
      </c>
    </row>
    <row r="41" spans="1:15" s="531" customFormat="1" ht="56.25" customHeight="1">
      <c r="A41" s="525">
        <v>5</v>
      </c>
      <c r="B41" s="526" t="s">
        <v>653</v>
      </c>
      <c r="C41" s="526" t="s">
        <v>689</v>
      </c>
      <c r="D41" s="527">
        <f>'сравнение затрат до и после Зах'!E42</f>
        <v>0.62</v>
      </c>
      <c r="E41" s="526" t="s">
        <v>520</v>
      </c>
      <c r="F41" s="526" t="s">
        <v>521</v>
      </c>
      <c r="G41" s="530"/>
      <c r="H41" s="530"/>
      <c r="I41" s="530"/>
      <c r="J41" s="530" t="s">
        <v>207</v>
      </c>
      <c r="K41" s="530">
        <v>1</v>
      </c>
      <c r="L41" s="526">
        <v>1217</v>
      </c>
      <c r="M41" s="526" t="s">
        <v>649</v>
      </c>
      <c r="N41" s="526" t="s">
        <v>131</v>
      </c>
      <c r="O41" s="528" t="s">
        <v>109</v>
      </c>
    </row>
    <row r="42" spans="1:15" s="531" customFormat="1" ht="59.25" customHeight="1">
      <c r="A42" s="525">
        <v>6</v>
      </c>
      <c r="B42" s="526" t="s">
        <v>654</v>
      </c>
      <c r="C42" s="526" t="s">
        <v>689</v>
      </c>
      <c r="D42" s="527">
        <f>'сравнение затрат до и после Зах'!E43</f>
        <v>0.31</v>
      </c>
      <c r="E42" s="526" t="s">
        <v>520</v>
      </c>
      <c r="F42" s="526" t="s">
        <v>521</v>
      </c>
      <c r="G42" s="530"/>
      <c r="H42" s="530"/>
      <c r="I42" s="530"/>
      <c r="J42" s="530" t="s">
        <v>208</v>
      </c>
      <c r="K42" s="530">
        <v>1</v>
      </c>
      <c r="L42" s="526">
        <v>11542</v>
      </c>
      <c r="M42" s="526" t="s">
        <v>649</v>
      </c>
      <c r="N42" s="526" t="s">
        <v>131</v>
      </c>
      <c r="O42" s="528" t="s">
        <v>109</v>
      </c>
    </row>
    <row r="43" spans="1:15" s="531" customFormat="1" ht="63" customHeight="1">
      <c r="A43" s="525">
        <v>7</v>
      </c>
      <c r="B43" s="526" t="s">
        <v>655</v>
      </c>
      <c r="C43" s="526" t="s">
        <v>689</v>
      </c>
      <c r="D43" s="527">
        <f>'сравнение затрат до и после Зах'!E44</f>
        <v>0.38</v>
      </c>
      <c r="E43" s="526" t="s">
        <v>520</v>
      </c>
      <c r="F43" s="526" t="s">
        <v>521</v>
      </c>
      <c r="G43" s="530"/>
      <c r="H43" s="530"/>
      <c r="I43" s="530"/>
      <c r="J43" s="530" t="s">
        <v>209</v>
      </c>
      <c r="K43" s="530">
        <v>1</v>
      </c>
      <c r="L43" s="526">
        <v>1629</v>
      </c>
      <c r="M43" s="526" t="s">
        <v>649</v>
      </c>
      <c r="N43" s="526" t="s">
        <v>131</v>
      </c>
      <c r="O43" s="528" t="s">
        <v>109</v>
      </c>
    </row>
    <row r="44" spans="1:15" s="531" customFormat="1" ht="57.75" customHeight="1">
      <c r="A44" s="525">
        <v>8</v>
      </c>
      <c r="B44" s="526" t="s">
        <v>656</v>
      </c>
      <c r="C44" s="526" t="s">
        <v>689</v>
      </c>
      <c r="D44" s="527">
        <f>'сравнение затрат до и после Зах'!E45</f>
        <v>0.31</v>
      </c>
      <c r="E44" s="526" t="s">
        <v>520</v>
      </c>
      <c r="F44" s="526" t="s">
        <v>521</v>
      </c>
      <c r="G44" s="530"/>
      <c r="H44" s="530"/>
      <c r="I44" s="530"/>
      <c r="J44" s="530" t="s">
        <v>210</v>
      </c>
      <c r="K44" s="530">
        <v>1</v>
      </c>
      <c r="L44" s="526">
        <v>2534</v>
      </c>
      <c r="M44" s="526" t="s">
        <v>649</v>
      </c>
      <c r="N44" s="526" t="s">
        <v>131</v>
      </c>
      <c r="O44" s="528" t="s">
        <v>109</v>
      </c>
    </row>
    <row r="45" spans="1:15" s="531" customFormat="1" ht="51.75" customHeight="1">
      <c r="A45" s="525">
        <v>9</v>
      </c>
      <c r="B45" s="526" t="s">
        <v>657</v>
      </c>
      <c r="C45" s="526" t="s">
        <v>689</v>
      </c>
      <c r="D45" s="527">
        <f>'сравнение затрат до и после Зах'!E46</f>
        <v>0.31</v>
      </c>
      <c r="E45" s="526" t="s">
        <v>520</v>
      </c>
      <c r="F45" s="526" t="s">
        <v>521</v>
      </c>
      <c r="G45" s="530"/>
      <c r="H45" s="530"/>
      <c r="I45" s="530"/>
      <c r="J45" s="530" t="s">
        <v>211</v>
      </c>
      <c r="K45" s="530">
        <v>1</v>
      </c>
      <c r="L45" s="526">
        <v>1508</v>
      </c>
      <c r="M45" s="526" t="s">
        <v>649</v>
      </c>
      <c r="N45" s="526" t="s">
        <v>131</v>
      </c>
      <c r="O45" s="528" t="s">
        <v>109</v>
      </c>
    </row>
    <row r="46" spans="1:15" s="531" customFormat="1" ht="52.5" customHeight="1">
      <c r="A46" s="525">
        <v>10</v>
      </c>
      <c r="B46" s="526" t="s">
        <v>658</v>
      </c>
      <c r="C46" s="526" t="s">
        <v>689</v>
      </c>
      <c r="D46" s="527">
        <f>'сравнение затрат до и после Зах'!E47</f>
        <v>0.32</v>
      </c>
      <c r="E46" s="526" t="s">
        <v>520</v>
      </c>
      <c r="F46" s="526" t="s">
        <v>521</v>
      </c>
      <c r="G46" s="530"/>
      <c r="H46" s="530"/>
      <c r="I46" s="530"/>
      <c r="J46" s="530" t="s">
        <v>212</v>
      </c>
      <c r="K46" s="530">
        <v>1</v>
      </c>
      <c r="L46" s="526">
        <v>1072</v>
      </c>
      <c r="M46" s="526" t="s">
        <v>649</v>
      </c>
      <c r="N46" s="526" t="s">
        <v>131</v>
      </c>
      <c r="O46" s="528" t="s">
        <v>109</v>
      </c>
    </row>
    <row r="47" spans="1:15" s="531" customFormat="1" ht="52.5" customHeight="1">
      <c r="A47" s="525">
        <v>11</v>
      </c>
      <c r="B47" s="526" t="s">
        <v>659</v>
      </c>
      <c r="C47" s="526" t="s">
        <v>689</v>
      </c>
      <c r="D47" s="527">
        <f>'сравнение затрат до и после Зах'!E48</f>
        <v>0.86</v>
      </c>
      <c r="E47" s="526" t="s">
        <v>520</v>
      </c>
      <c r="F47" s="526" t="s">
        <v>521</v>
      </c>
      <c r="G47" s="530"/>
      <c r="H47" s="530"/>
      <c r="I47" s="530"/>
      <c r="J47" s="530" t="s">
        <v>213</v>
      </c>
      <c r="K47" s="530">
        <v>1</v>
      </c>
      <c r="L47" s="526">
        <v>1162</v>
      </c>
      <c r="M47" s="526" t="s">
        <v>649</v>
      </c>
      <c r="N47" s="526" t="s">
        <v>131</v>
      </c>
      <c r="O47" s="528" t="s">
        <v>109</v>
      </c>
    </row>
    <row r="48" spans="1:15" s="531" customFormat="1" ht="54" customHeight="1">
      <c r="A48" s="525">
        <v>12</v>
      </c>
      <c r="B48" s="526" t="s">
        <v>660</v>
      </c>
      <c r="C48" s="526" t="s">
        <v>689</v>
      </c>
      <c r="D48" s="527">
        <f>'сравнение затрат до и после Зах'!E49</f>
        <v>0.32</v>
      </c>
      <c r="E48" s="526" t="s">
        <v>520</v>
      </c>
      <c r="F48" s="526" t="s">
        <v>521</v>
      </c>
      <c r="G48" s="530"/>
      <c r="H48" s="530"/>
      <c r="I48" s="530"/>
      <c r="J48" s="530" t="s">
        <v>214</v>
      </c>
      <c r="K48" s="530">
        <v>1</v>
      </c>
      <c r="L48" s="526">
        <v>455</v>
      </c>
      <c r="M48" s="526" t="s">
        <v>649</v>
      </c>
      <c r="N48" s="526" t="s">
        <v>131</v>
      </c>
      <c r="O48" s="528" t="s">
        <v>109</v>
      </c>
    </row>
    <row r="49" spans="1:15" s="531" customFormat="1" ht="60" customHeight="1">
      <c r="A49" s="525">
        <v>13</v>
      </c>
      <c r="B49" s="526" t="s">
        <v>661</v>
      </c>
      <c r="C49" s="526" t="s">
        <v>689</v>
      </c>
      <c r="D49" s="527">
        <f>'сравнение затрат до и после Зах'!E50</f>
        <v>0.32</v>
      </c>
      <c r="E49" s="526" t="s">
        <v>520</v>
      </c>
      <c r="F49" s="526" t="s">
        <v>521</v>
      </c>
      <c r="G49" s="530"/>
      <c r="H49" s="530"/>
      <c r="I49" s="530"/>
      <c r="J49" s="530" t="s">
        <v>215</v>
      </c>
      <c r="K49" s="530">
        <v>1</v>
      </c>
      <c r="L49" s="526">
        <v>670</v>
      </c>
      <c r="M49" s="526" t="s">
        <v>649</v>
      </c>
      <c r="N49" s="526" t="s">
        <v>131</v>
      </c>
      <c r="O49" s="528" t="s">
        <v>109</v>
      </c>
    </row>
    <row r="50" spans="1:15" s="531" customFormat="1" ht="50.25" customHeight="1">
      <c r="A50" s="525">
        <v>14</v>
      </c>
      <c r="B50" s="526" t="s">
        <v>662</v>
      </c>
      <c r="C50" s="526" t="s">
        <v>689</v>
      </c>
      <c r="D50" s="527">
        <f>'сравнение затрат до и после Зах'!E51</f>
        <v>0.15</v>
      </c>
      <c r="E50" s="526" t="s">
        <v>520</v>
      </c>
      <c r="F50" s="526" t="s">
        <v>521</v>
      </c>
      <c r="G50" s="530"/>
      <c r="H50" s="530"/>
      <c r="I50" s="530"/>
      <c r="J50" s="530" t="s">
        <v>216</v>
      </c>
      <c r="K50" s="530">
        <v>1</v>
      </c>
      <c r="L50" s="526">
        <v>1446</v>
      </c>
      <c r="M50" s="526" t="s">
        <v>664</v>
      </c>
      <c r="N50" s="526" t="s">
        <v>131</v>
      </c>
      <c r="O50" s="528" t="s">
        <v>109</v>
      </c>
    </row>
    <row r="51" spans="1:15" s="531" customFormat="1" ht="46.5" customHeight="1">
      <c r="A51" s="525">
        <v>15</v>
      </c>
      <c r="B51" s="526" t="s">
        <v>663</v>
      </c>
      <c r="C51" s="526" t="s">
        <v>689</v>
      </c>
      <c r="D51" s="527">
        <f>'сравнение затрат до и после Зах'!E52</f>
        <v>0.8</v>
      </c>
      <c r="E51" s="526" t="s">
        <v>520</v>
      </c>
      <c r="F51" s="526" t="s">
        <v>521</v>
      </c>
      <c r="G51" s="530"/>
      <c r="H51" s="530"/>
      <c r="I51" s="530"/>
      <c r="J51" s="530" t="s">
        <v>217</v>
      </c>
      <c r="K51" s="530">
        <v>1</v>
      </c>
      <c r="L51" s="526">
        <v>2981</v>
      </c>
      <c r="M51" s="526" t="s">
        <v>664</v>
      </c>
      <c r="N51" s="526" t="s">
        <v>131</v>
      </c>
      <c r="O51" s="528" t="s">
        <v>109</v>
      </c>
    </row>
    <row r="52" spans="1:15" s="531" customFormat="1" ht="52.5" customHeight="1">
      <c r="A52" s="525">
        <v>16</v>
      </c>
      <c r="B52" s="526" t="s">
        <v>665</v>
      </c>
      <c r="C52" s="526" t="s">
        <v>689</v>
      </c>
      <c r="D52" s="527">
        <f>'сравнение затрат до и после Зах'!E53</f>
        <v>0.11</v>
      </c>
      <c r="E52" s="526" t="s">
        <v>520</v>
      </c>
      <c r="F52" s="526" t="s">
        <v>521</v>
      </c>
      <c r="G52" s="530"/>
      <c r="H52" s="530"/>
      <c r="I52" s="530"/>
      <c r="J52" s="530" t="s">
        <v>218</v>
      </c>
      <c r="K52" s="530">
        <v>1</v>
      </c>
      <c r="L52" s="526">
        <v>745</v>
      </c>
      <c r="M52" s="526" t="s">
        <v>664</v>
      </c>
      <c r="N52" s="526" t="s">
        <v>131</v>
      </c>
      <c r="O52" s="528" t="s">
        <v>109</v>
      </c>
    </row>
    <row r="53" spans="1:15" s="164" customFormat="1" ht="45.75" customHeight="1">
      <c r="A53" s="548"/>
      <c r="B53" s="549" t="s">
        <v>666</v>
      </c>
      <c r="C53" s="549">
        <f>A52-A36</f>
        <v>16</v>
      </c>
      <c r="D53" s="550">
        <f>SUM(D33:D52)</f>
        <v>7.930000000000001</v>
      </c>
      <c r="E53" s="549"/>
      <c r="F53" s="549"/>
      <c r="G53" s="549"/>
      <c r="H53" s="549">
        <f>SUM(H33:H52)</f>
        <v>174</v>
      </c>
      <c r="I53" s="549">
        <f>SUM(I33:I52)</f>
        <v>9462</v>
      </c>
      <c r="J53" s="549"/>
      <c r="K53" s="549">
        <f>SUM(K33:K52)</f>
        <v>16</v>
      </c>
      <c r="L53" s="549">
        <f>SUM(L37:L52)</f>
        <v>37463</v>
      </c>
      <c r="M53" s="549"/>
      <c r="N53" s="549" t="s">
        <v>219</v>
      </c>
      <c r="O53" s="551"/>
    </row>
    <row r="54" spans="1:15" s="254" customFormat="1" ht="38.25" customHeight="1">
      <c r="A54" s="545"/>
      <c r="B54" s="546" t="s">
        <v>220</v>
      </c>
      <c r="C54" s="292"/>
      <c r="D54" s="293"/>
      <c r="E54" s="292"/>
      <c r="F54" s="292"/>
      <c r="G54" s="268"/>
      <c r="H54" s="268"/>
      <c r="I54" s="268"/>
      <c r="J54" s="268"/>
      <c r="K54" s="268"/>
      <c r="L54" s="292"/>
      <c r="M54" s="292"/>
      <c r="N54" s="292"/>
      <c r="O54" s="547"/>
    </row>
    <row r="55" spans="1:15" s="531" customFormat="1" ht="117" customHeight="1">
      <c r="A55" s="756">
        <v>1</v>
      </c>
      <c r="B55" s="739" t="s">
        <v>78</v>
      </c>
      <c r="C55" s="739" t="s">
        <v>79</v>
      </c>
      <c r="D55" s="527">
        <f>'сравнение затрат до и после Зах'!E56</f>
        <v>14.840282561421992</v>
      </c>
      <c r="E55" s="739" t="s">
        <v>520</v>
      </c>
      <c r="F55" s="739" t="s">
        <v>521</v>
      </c>
      <c r="G55" s="530" t="s">
        <v>221</v>
      </c>
      <c r="H55" s="530">
        <v>1892</v>
      </c>
      <c r="I55" s="530">
        <v>109489</v>
      </c>
      <c r="J55" s="530" t="s">
        <v>669</v>
      </c>
      <c r="K55" s="530">
        <v>1</v>
      </c>
      <c r="L55" s="526">
        <v>384</v>
      </c>
      <c r="M55" s="526" t="s">
        <v>668</v>
      </c>
      <c r="N55" s="533" t="s">
        <v>134</v>
      </c>
      <c r="O55" s="535" t="s">
        <v>132</v>
      </c>
    </row>
    <row r="56" spans="1:15" s="531" customFormat="1" ht="42.75" customHeight="1">
      <c r="A56" s="757"/>
      <c r="B56" s="739"/>
      <c r="C56" s="739"/>
      <c r="D56" s="527">
        <f>'сравнение затрат до и после Зах'!E57</f>
        <v>0.21097559328443885</v>
      </c>
      <c r="E56" s="739"/>
      <c r="F56" s="739"/>
      <c r="G56" s="530"/>
      <c r="H56" s="530"/>
      <c r="I56" s="530"/>
      <c r="J56" s="530" t="s">
        <v>670</v>
      </c>
      <c r="K56" s="530">
        <v>1</v>
      </c>
      <c r="L56" s="526">
        <v>1562</v>
      </c>
      <c r="M56" s="526" t="s">
        <v>668</v>
      </c>
      <c r="N56" s="533" t="s">
        <v>133</v>
      </c>
      <c r="O56" s="535" t="s">
        <v>132</v>
      </c>
    </row>
    <row r="57" spans="1:15" s="531" customFormat="1" ht="42.75" customHeight="1">
      <c r="A57" s="757"/>
      <c r="B57" s="739"/>
      <c r="C57" s="739"/>
      <c r="D57" s="527">
        <f>'сравнение затрат до и после Зах'!E58</f>
        <v>0.8324216270243256</v>
      </c>
      <c r="E57" s="739"/>
      <c r="F57" s="739"/>
      <c r="G57" s="530"/>
      <c r="H57" s="530"/>
      <c r="I57" s="530"/>
      <c r="J57" s="530" t="s">
        <v>671</v>
      </c>
      <c r="K57" s="530">
        <v>1</v>
      </c>
      <c r="L57" s="526">
        <v>6163</v>
      </c>
      <c r="M57" s="526" t="s">
        <v>668</v>
      </c>
      <c r="N57" s="533" t="s">
        <v>133</v>
      </c>
      <c r="O57" s="535" t="s">
        <v>132</v>
      </c>
    </row>
    <row r="58" spans="1:15" s="531" customFormat="1" ht="42.75" customHeight="1">
      <c r="A58" s="757"/>
      <c r="B58" s="739"/>
      <c r="C58" s="739"/>
      <c r="D58" s="527">
        <f>'сравнение затрат до и после Зах'!E59</f>
        <v>0.7975741858800329</v>
      </c>
      <c r="E58" s="739"/>
      <c r="F58" s="739"/>
      <c r="G58" s="530"/>
      <c r="H58" s="530"/>
      <c r="I58" s="530"/>
      <c r="J58" s="530" t="s">
        <v>677</v>
      </c>
      <c r="K58" s="530">
        <v>1</v>
      </c>
      <c r="L58" s="526">
        <v>5905</v>
      </c>
      <c r="M58" s="526" t="s">
        <v>668</v>
      </c>
      <c r="N58" s="533" t="s">
        <v>133</v>
      </c>
      <c r="O58" s="535" t="s">
        <v>132</v>
      </c>
    </row>
    <row r="59" spans="1:15" s="531" customFormat="1" ht="49.5" customHeight="1">
      <c r="A59" s="757"/>
      <c r="B59" s="739"/>
      <c r="C59" s="739"/>
      <c r="D59" s="527">
        <f>'сравнение затрат до и после Зах'!E60</f>
        <v>0.08117562840201521</v>
      </c>
      <c r="E59" s="739"/>
      <c r="F59" s="739"/>
      <c r="G59" s="530"/>
      <c r="H59" s="530"/>
      <c r="I59" s="530"/>
      <c r="J59" s="530" t="s">
        <v>672</v>
      </c>
      <c r="K59" s="530">
        <v>1</v>
      </c>
      <c r="L59" s="526">
        <v>601</v>
      </c>
      <c r="M59" s="526" t="s">
        <v>668</v>
      </c>
      <c r="N59" s="533" t="s">
        <v>133</v>
      </c>
      <c r="O59" s="535" t="s">
        <v>132</v>
      </c>
    </row>
    <row r="60" spans="1:15" s="531" customFormat="1" ht="42.75" customHeight="1">
      <c r="A60" s="757"/>
      <c r="B60" s="739"/>
      <c r="C60" s="739"/>
      <c r="D60" s="527">
        <f>'сравнение затрат до и после Зах'!E61</f>
        <v>0.12601807204505855</v>
      </c>
      <c r="E60" s="739"/>
      <c r="F60" s="739"/>
      <c r="G60" s="530"/>
      <c r="H60" s="530"/>
      <c r="I60" s="530"/>
      <c r="J60" s="530" t="s">
        <v>674</v>
      </c>
      <c r="K60" s="530">
        <v>1</v>
      </c>
      <c r="L60" s="526">
        <v>933</v>
      </c>
      <c r="M60" s="526" t="s">
        <v>668</v>
      </c>
      <c r="N60" s="533" t="s">
        <v>133</v>
      </c>
      <c r="O60" s="535" t="s">
        <v>132</v>
      </c>
    </row>
    <row r="61" spans="1:15" s="531" customFormat="1" ht="50.25" customHeight="1">
      <c r="A61" s="757"/>
      <c r="B61" s="739"/>
      <c r="C61" s="739"/>
      <c r="D61" s="527">
        <f>'сравнение затрат до и после Зах'!E62</f>
        <v>0.23906965436200817</v>
      </c>
      <c r="E61" s="739"/>
      <c r="F61" s="739"/>
      <c r="G61" s="530"/>
      <c r="H61" s="530"/>
      <c r="I61" s="530"/>
      <c r="J61" s="530" t="s">
        <v>675</v>
      </c>
      <c r="K61" s="530">
        <v>1</v>
      </c>
      <c r="L61" s="526">
        <v>1770</v>
      </c>
      <c r="M61" s="526" t="s">
        <v>668</v>
      </c>
      <c r="N61" s="533" t="s">
        <v>133</v>
      </c>
      <c r="O61" s="535" t="s">
        <v>132</v>
      </c>
    </row>
    <row r="62" spans="1:15" s="531" customFormat="1" ht="42.75" customHeight="1">
      <c r="A62" s="757"/>
      <c r="B62" s="739"/>
      <c r="C62" s="739"/>
      <c r="D62" s="527">
        <f>'сравнение затрат до и после Зах'!E63</f>
        <v>1.2021016518767642</v>
      </c>
      <c r="E62" s="739"/>
      <c r="F62" s="739"/>
      <c r="G62" s="530"/>
      <c r="H62" s="530"/>
      <c r="I62" s="530"/>
      <c r="J62" s="530" t="s">
        <v>676</v>
      </c>
      <c r="K62" s="530">
        <v>1</v>
      </c>
      <c r="L62" s="526">
        <v>8900</v>
      </c>
      <c r="M62" s="526" t="s">
        <v>668</v>
      </c>
      <c r="N62" s="533" t="s">
        <v>133</v>
      </c>
      <c r="O62" s="535" t="s">
        <v>132</v>
      </c>
    </row>
    <row r="63" spans="1:15" s="531" customFormat="1" ht="42.75" customHeight="1">
      <c r="A63" s="757"/>
      <c r="B63" s="739"/>
      <c r="C63" s="739"/>
      <c r="D63" s="527">
        <f>'сравнение затрат до и после Зах'!E64</f>
        <v>0.28013020516768644</v>
      </c>
      <c r="E63" s="739"/>
      <c r="F63" s="739"/>
      <c r="G63" s="530"/>
      <c r="H63" s="530"/>
      <c r="I63" s="530"/>
      <c r="J63" s="530" t="s">
        <v>673</v>
      </c>
      <c r="K63" s="530">
        <v>1</v>
      </c>
      <c r="L63" s="526">
        <v>2074</v>
      </c>
      <c r="M63" s="526" t="s">
        <v>668</v>
      </c>
      <c r="N63" s="533" t="s">
        <v>133</v>
      </c>
      <c r="O63" s="535" t="s">
        <v>132</v>
      </c>
    </row>
    <row r="64" spans="1:15" s="531" customFormat="1" ht="42.75" customHeight="1">
      <c r="A64" s="757"/>
      <c r="B64" s="739"/>
      <c r="C64" s="739"/>
      <c r="D64" s="527">
        <f>'сравнение затрат до и после Зах'!E65</f>
        <v>0.5105555330442887</v>
      </c>
      <c r="E64" s="739"/>
      <c r="F64" s="739"/>
      <c r="G64" s="530"/>
      <c r="H64" s="530"/>
      <c r="I64" s="530"/>
      <c r="J64" s="530" t="s">
        <v>678</v>
      </c>
      <c r="K64" s="530">
        <v>1</v>
      </c>
      <c r="L64" s="526">
        <v>3780</v>
      </c>
      <c r="M64" s="526" t="s">
        <v>668</v>
      </c>
      <c r="N64" s="533" t="s">
        <v>133</v>
      </c>
      <c r="O64" s="535" t="s">
        <v>132</v>
      </c>
    </row>
    <row r="65" spans="1:15" s="531" customFormat="1" ht="42.75" customHeight="1">
      <c r="A65" s="757"/>
      <c r="B65" s="739"/>
      <c r="C65" s="739"/>
      <c r="D65" s="527">
        <f>'сравнение затрат до и после Зах'!E66</f>
        <v>0.14060537298918108</v>
      </c>
      <c r="E65" s="739"/>
      <c r="F65" s="739"/>
      <c r="G65" s="530"/>
      <c r="H65" s="530"/>
      <c r="I65" s="530"/>
      <c r="J65" s="530" t="s">
        <v>679</v>
      </c>
      <c r="K65" s="530">
        <v>1</v>
      </c>
      <c r="L65" s="526">
        <v>1041</v>
      </c>
      <c r="M65" s="526" t="s">
        <v>668</v>
      </c>
      <c r="N65" s="533" t="s">
        <v>133</v>
      </c>
      <c r="O65" s="535" t="s">
        <v>132</v>
      </c>
    </row>
    <row r="66" spans="1:15" s="531" customFormat="1" ht="42.75" customHeight="1">
      <c r="A66" s="757"/>
      <c r="B66" s="739"/>
      <c r="C66" s="739"/>
      <c r="D66" s="527">
        <f>'сравнение затрат до и после Зах'!E67</f>
        <v>0.7391304347826086</v>
      </c>
      <c r="E66" s="739"/>
      <c r="F66" s="739"/>
      <c r="G66" s="530"/>
      <c r="H66" s="530"/>
      <c r="I66" s="530"/>
      <c r="J66" s="530" t="s">
        <v>680</v>
      </c>
      <c r="K66" s="530">
        <v>1</v>
      </c>
      <c r="L66" s="526">
        <v>5472.3</v>
      </c>
      <c r="M66" s="526" t="s">
        <v>668</v>
      </c>
      <c r="N66" s="533" t="s">
        <v>133</v>
      </c>
      <c r="O66" s="535" t="s">
        <v>132</v>
      </c>
    </row>
    <row r="67" spans="1:15" s="164" customFormat="1" ht="57" customHeight="1">
      <c r="A67" s="548"/>
      <c r="B67" s="549" t="s">
        <v>681</v>
      </c>
      <c r="C67" s="549">
        <f>A55</f>
        <v>1</v>
      </c>
      <c r="D67" s="550">
        <f>SUM(D55:D66)</f>
        <v>20.000040520280404</v>
      </c>
      <c r="E67" s="549"/>
      <c r="F67" s="549"/>
      <c r="G67" s="549"/>
      <c r="H67" s="549">
        <f>SUM(H55:H66)</f>
        <v>1892</v>
      </c>
      <c r="I67" s="549">
        <f>SUM(I55:I66)</f>
        <v>109489</v>
      </c>
      <c r="J67" s="549"/>
      <c r="K67" s="549">
        <f>SUM(K55:K66)</f>
        <v>12</v>
      </c>
      <c r="L67" s="549">
        <f>SUM(L55:L66)</f>
        <v>38585.3</v>
      </c>
      <c r="M67" s="549"/>
      <c r="N67" s="549" t="s">
        <v>223</v>
      </c>
      <c r="O67" s="551"/>
    </row>
    <row r="68" spans="1:15" s="164" customFormat="1" ht="29.25" customHeight="1">
      <c r="A68" s="545"/>
      <c r="B68" s="546" t="s">
        <v>682</v>
      </c>
      <c r="C68" s="546"/>
      <c r="D68" s="553"/>
      <c r="E68" s="546"/>
      <c r="F68" s="546"/>
      <c r="G68" s="229"/>
      <c r="H68" s="229"/>
      <c r="I68" s="229"/>
      <c r="J68" s="229"/>
      <c r="K68" s="229"/>
      <c r="L68" s="546"/>
      <c r="M68" s="546"/>
      <c r="N68" s="546"/>
      <c r="O68" s="554"/>
    </row>
    <row r="69" spans="1:15" s="531" customFormat="1" ht="66" customHeight="1">
      <c r="A69" s="525">
        <v>1</v>
      </c>
      <c r="B69" s="526" t="s">
        <v>683</v>
      </c>
      <c r="C69" s="526" t="s">
        <v>684</v>
      </c>
      <c r="D69" s="527">
        <f>'сравнение затрат до и после Зах'!E70</f>
        <v>0.43</v>
      </c>
      <c r="E69" s="526" t="s">
        <v>520</v>
      </c>
      <c r="F69" s="526" t="s">
        <v>521</v>
      </c>
      <c r="G69" s="530" t="s">
        <v>233</v>
      </c>
      <c r="H69" s="530">
        <v>51</v>
      </c>
      <c r="I69" s="530">
        <v>2468</v>
      </c>
      <c r="J69" s="530"/>
      <c r="K69" s="530"/>
      <c r="L69" s="526"/>
      <c r="M69" s="526" t="s">
        <v>686</v>
      </c>
      <c r="N69" s="533" t="s">
        <v>133</v>
      </c>
      <c r="O69" s="535" t="s">
        <v>132</v>
      </c>
    </row>
    <row r="70" spans="1:15" s="531" customFormat="1" ht="51.75" customHeight="1">
      <c r="A70" s="525">
        <v>2</v>
      </c>
      <c r="B70" s="526" t="s">
        <v>224</v>
      </c>
      <c r="C70" s="526" t="s">
        <v>688</v>
      </c>
      <c r="D70" s="527">
        <f>'сравнение затрат до и после Зах'!E71</f>
        <v>0.18</v>
      </c>
      <c r="E70" s="526" t="s">
        <v>520</v>
      </c>
      <c r="F70" s="526" t="s">
        <v>521</v>
      </c>
      <c r="G70" s="530"/>
      <c r="H70" s="530"/>
      <c r="I70" s="530"/>
      <c r="J70" s="530" t="s">
        <v>225</v>
      </c>
      <c r="K70" s="530">
        <v>1</v>
      </c>
      <c r="L70" s="526">
        <v>2523</v>
      </c>
      <c r="M70" s="526" t="s">
        <v>690</v>
      </c>
      <c r="N70" s="533" t="s">
        <v>134</v>
      </c>
      <c r="O70" s="535" t="s">
        <v>132</v>
      </c>
    </row>
    <row r="71" spans="1:15" s="164" customFormat="1" ht="51" customHeight="1">
      <c r="A71" s="548"/>
      <c r="B71" s="549" t="s">
        <v>691</v>
      </c>
      <c r="C71" s="549">
        <f>A70</f>
        <v>2</v>
      </c>
      <c r="D71" s="550">
        <f>SUM(D69:D70)</f>
        <v>0.61</v>
      </c>
      <c r="E71" s="549"/>
      <c r="F71" s="549"/>
      <c r="G71" s="549"/>
      <c r="H71" s="549">
        <f>SUM(H69:H70)</f>
        <v>51</v>
      </c>
      <c r="I71" s="549">
        <f>SUM(I69:I70)</f>
        <v>2468</v>
      </c>
      <c r="J71" s="549">
        <f>SUM(J69:J70)</f>
        <v>0</v>
      </c>
      <c r="K71" s="549">
        <f>SUM(K69:K70)</f>
        <v>1</v>
      </c>
      <c r="L71" s="549">
        <f>SUM(L69:L70)</f>
        <v>2523</v>
      </c>
      <c r="M71" s="549"/>
      <c r="N71" s="549" t="s">
        <v>226</v>
      </c>
      <c r="O71" s="551"/>
    </row>
    <row r="72" spans="1:15" s="164" customFormat="1" ht="33.75" customHeight="1">
      <c r="A72" s="545"/>
      <c r="B72" s="546" t="s">
        <v>692</v>
      </c>
      <c r="C72" s="546"/>
      <c r="D72" s="553"/>
      <c r="E72" s="546"/>
      <c r="F72" s="546"/>
      <c r="G72" s="229"/>
      <c r="H72" s="229"/>
      <c r="I72" s="229"/>
      <c r="J72" s="229"/>
      <c r="K72" s="229"/>
      <c r="L72" s="546"/>
      <c r="M72" s="546"/>
      <c r="N72" s="546"/>
      <c r="O72" s="554"/>
    </row>
    <row r="73" spans="1:15" s="531" customFormat="1" ht="84.75" customHeight="1">
      <c r="A73" s="525">
        <v>1</v>
      </c>
      <c r="B73" s="526" t="s">
        <v>444</v>
      </c>
      <c r="C73" s="526" t="s">
        <v>693</v>
      </c>
      <c r="D73" s="527">
        <f>'сравнение затрат до и после Зах'!E74</f>
        <v>1.8</v>
      </c>
      <c r="E73" s="526" t="s">
        <v>520</v>
      </c>
      <c r="F73" s="526" t="s">
        <v>521</v>
      </c>
      <c r="G73" s="530" t="s">
        <v>229</v>
      </c>
      <c r="H73" s="530">
        <v>42</v>
      </c>
      <c r="I73" s="530">
        <v>7100</v>
      </c>
      <c r="J73" s="532" t="s">
        <v>235</v>
      </c>
      <c r="K73" s="532">
        <v>1</v>
      </c>
      <c r="L73" s="526">
        <v>5400</v>
      </c>
      <c r="M73" s="526" t="s">
        <v>695</v>
      </c>
      <c r="N73" s="533" t="s">
        <v>134</v>
      </c>
      <c r="O73" s="535" t="s">
        <v>132</v>
      </c>
    </row>
    <row r="74" spans="1:15" s="531" customFormat="1" ht="45" customHeight="1">
      <c r="A74" s="525">
        <v>2</v>
      </c>
      <c r="B74" s="526" t="s">
        <v>445</v>
      </c>
      <c r="C74" s="526" t="s">
        <v>696</v>
      </c>
      <c r="D74" s="527">
        <f>'сравнение затрат до и после Зах'!E75</f>
        <v>2</v>
      </c>
      <c r="E74" s="526" t="s">
        <v>520</v>
      </c>
      <c r="F74" s="526" t="s">
        <v>521</v>
      </c>
      <c r="G74" s="530" t="s">
        <v>230</v>
      </c>
      <c r="H74" s="530">
        <v>133</v>
      </c>
      <c r="I74" s="530">
        <v>5540</v>
      </c>
      <c r="J74" s="532" t="s">
        <v>48</v>
      </c>
      <c r="K74" s="532">
        <v>1</v>
      </c>
      <c r="L74" s="526">
        <v>200</v>
      </c>
      <c r="M74" s="526" t="s">
        <v>695</v>
      </c>
      <c r="N74" s="533" t="s">
        <v>134</v>
      </c>
      <c r="O74" s="535" t="s">
        <v>132</v>
      </c>
    </row>
    <row r="75" spans="1:15" s="531" customFormat="1" ht="114" customHeight="1">
      <c r="A75" s="525">
        <v>3</v>
      </c>
      <c r="B75" s="526" t="s">
        <v>697</v>
      </c>
      <c r="C75" s="526" t="s">
        <v>698</v>
      </c>
      <c r="D75" s="527">
        <f>'сравнение затрат до и после Зах'!E76</f>
        <v>2.24</v>
      </c>
      <c r="E75" s="526" t="s">
        <v>520</v>
      </c>
      <c r="F75" s="526" t="s">
        <v>521</v>
      </c>
      <c r="G75" s="530" t="s">
        <v>231</v>
      </c>
      <c r="H75" s="530">
        <v>226</v>
      </c>
      <c r="I75" s="530">
        <v>12723</v>
      </c>
      <c r="J75" s="532" t="s">
        <v>236</v>
      </c>
      <c r="K75" s="532">
        <v>1</v>
      </c>
      <c r="L75" s="526">
        <v>6100</v>
      </c>
      <c r="M75" s="526" t="s">
        <v>699</v>
      </c>
      <c r="N75" s="533" t="s">
        <v>134</v>
      </c>
      <c r="O75" s="535" t="s">
        <v>132</v>
      </c>
    </row>
    <row r="76" spans="1:15" s="531" customFormat="1" ht="42.75" customHeight="1">
      <c r="A76" s="525">
        <v>4</v>
      </c>
      <c r="B76" s="526" t="s">
        <v>697</v>
      </c>
      <c r="C76" s="526" t="s">
        <v>700</v>
      </c>
      <c r="D76" s="527">
        <f>'сравнение затрат до и после Зах'!E77</f>
        <v>3.92</v>
      </c>
      <c r="E76" s="526" t="s">
        <v>520</v>
      </c>
      <c r="F76" s="526" t="s">
        <v>521</v>
      </c>
      <c r="G76" s="530" t="s">
        <v>232</v>
      </c>
      <c r="H76" s="530">
        <v>220</v>
      </c>
      <c r="I76" s="530">
        <v>12700</v>
      </c>
      <c r="J76" s="543"/>
      <c r="K76" s="543"/>
      <c r="L76" s="526"/>
      <c r="M76" s="526" t="s">
        <v>699</v>
      </c>
      <c r="N76" s="533" t="s">
        <v>134</v>
      </c>
      <c r="O76" s="535" t="s">
        <v>132</v>
      </c>
    </row>
    <row r="77" spans="1:15" s="531" customFormat="1" ht="76.5" customHeight="1">
      <c r="A77" s="525">
        <v>5</v>
      </c>
      <c r="B77" s="526" t="s">
        <v>701</v>
      </c>
      <c r="C77" s="526" t="s">
        <v>689</v>
      </c>
      <c r="D77" s="527">
        <f>'сравнение затрат до и после Зах'!E78</f>
        <v>5.62</v>
      </c>
      <c r="E77" s="526" t="s">
        <v>520</v>
      </c>
      <c r="F77" s="526" t="s">
        <v>521</v>
      </c>
      <c r="G77" s="530" t="s">
        <v>234</v>
      </c>
      <c r="H77" s="530">
        <v>570</v>
      </c>
      <c r="I77" s="530">
        <v>30454</v>
      </c>
      <c r="J77" s="532" t="s">
        <v>237</v>
      </c>
      <c r="K77" s="532">
        <v>1</v>
      </c>
      <c r="L77" s="526">
        <v>6155</v>
      </c>
      <c r="M77" s="526" t="s">
        <v>699</v>
      </c>
      <c r="N77" s="533" t="s">
        <v>135</v>
      </c>
      <c r="O77" s="535" t="s">
        <v>132</v>
      </c>
    </row>
    <row r="78" spans="1:15" s="531" customFormat="1" ht="41.25" customHeight="1">
      <c r="A78" s="525">
        <v>6</v>
      </c>
      <c r="B78" s="526" t="s">
        <v>227</v>
      </c>
      <c r="C78" s="526" t="s">
        <v>689</v>
      </c>
      <c r="D78" s="527">
        <f>'сравнение затрат до и после Зах'!E79</f>
        <v>1.68</v>
      </c>
      <c r="E78" s="526" t="s">
        <v>520</v>
      </c>
      <c r="F78" s="526" t="s">
        <v>521</v>
      </c>
      <c r="G78" s="530" t="s">
        <v>64</v>
      </c>
      <c r="H78" s="530">
        <v>75</v>
      </c>
      <c r="I78" s="530">
        <v>5955</v>
      </c>
      <c r="J78" s="532" t="s">
        <v>65</v>
      </c>
      <c r="K78" s="532">
        <v>1</v>
      </c>
      <c r="L78" s="526">
        <v>900</v>
      </c>
      <c r="M78" s="526" t="s">
        <v>699</v>
      </c>
      <c r="N78" s="533" t="s">
        <v>134</v>
      </c>
      <c r="O78" s="535" t="s">
        <v>132</v>
      </c>
    </row>
    <row r="79" spans="1:15" s="531" customFormat="1" ht="39.75" customHeight="1">
      <c r="A79" s="525">
        <v>7</v>
      </c>
      <c r="B79" s="526" t="s">
        <v>228</v>
      </c>
      <c r="C79" s="526" t="s">
        <v>689</v>
      </c>
      <c r="D79" s="527">
        <f>'сравнение затрат до и после Зах'!E80</f>
        <v>0.5</v>
      </c>
      <c r="E79" s="526" t="s">
        <v>520</v>
      </c>
      <c r="F79" s="526" t="s">
        <v>521</v>
      </c>
      <c r="G79" s="526" t="s">
        <v>116</v>
      </c>
      <c r="H79" s="526">
        <v>28</v>
      </c>
      <c r="I79" s="526">
        <v>3275</v>
      </c>
      <c r="J79" s="543"/>
      <c r="K79" s="543"/>
      <c r="L79" s="526"/>
      <c r="M79" s="526" t="s">
        <v>699</v>
      </c>
      <c r="N79" s="533" t="s">
        <v>134</v>
      </c>
      <c r="O79" s="535" t="s">
        <v>132</v>
      </c>
    </row>
    <row r="80" spans="1:15" s="531" customFormat="1" ht="42.75" customHeight="1">
      <c r="A80" s="525">
        <v>8</v>
      </c>
      <c r="B80" s="526" t="s">
        <v>704</v>
      </c>
      <c r="C80" s="526" t="s">
        <v>689</v>
      </c>
      <c r="D80" s="527">
        <f>'сравнение затрат до и после Зах'!E81</f>
        <v>0.31</v>
      </c>
      <c r="E80" s="526" t="s">
        <v>520</v>
      </c>
      <c r="F80" s="526" t="s">
        <v>521</v>
      </c>
      <c r="G80" s="530"/>
      <c r="H80" s="530"/>
      <c r="I80" s="530"/>
      <c r="J80" s="530" t="s">
        <v>238</v>
      </c>
      <c r="K80" s="530">
        <v>1</v>
      </c>
      <c r="L80" s="526">
        <v>1620</v>
      </c>
      <c r="M80" s="526" t="s">
        <v>706</v>
      </c>
      <c r="N80" s="533" t="s">
        <v>134</v>
      </c>
      <c r="O80" s="535" t="s">
        <v>132</v>
      </c>
    </row>
    <row r="81" spans="1:15" s="531" customFormat="1" ht="42.75" customHeight="1">
      <c r="A81" s="525">
        <v>9</v>
      </c>
      <c r="B81" s="526" t="s">
        <v>705</v>
      </c>
      <c r="C81" s="526" t="s">
        <v>689</v>
      </c>
      <c r="D81" s="527">
        <f>'сравнение затрат до и после Зах'!E82</f>
        <v>0.75</v>
      </c>
      <c r="E81" s="526" t="s">
        <v>520</v>
      </c>
      <c r="F81" s="526" t="s">
        <v>521</v>
      </c>
      <c r="G81" s="530"/>
      <c r="H81" s="530"/>
      <c r="I81" s="530"/>
      <c r="J81" s="530" t="s">
        <v>239</v>
      </c>
      <c r="K81" s="530">
        <v>1</v>
      </c>
      <c r="L81" s="526">
        <v>2480</v>
      </c>
      <c r="M81" s="526" t="s">
        <v>706</v>
      </c>
      <c r="N81" s="533" t="s">
        <v>134</v>
      </c>
      <c r="O81" s="535" t="s">
        <v>132</v>
      </c>
    </row>
    <row r="82" spans="1:15" s="531" customFormat="1" ht="42.75" customHeight="1">
      <c r="A82" s="525">
        <v>10</v>
      </c>
      <c r="B82" s="526" t="s">
        <v>707</v>
      </c>
      <c r="C82" s="526" t="s">
        <v>689</v>
      </c>
      <c r="D82" s="527">
        <f>'сравнение затрат до и после Зах'!E83</f>
        <v>1.26</v>
      </c>
      <c r="E82" s="526" t="s">
        <v>520</v>
      </c>
      <c r="F82" s="526" t="s">
        <v>521</v>
      </c>
      <c r="G82" s="530"/>
      <c r="H82" s="530"/>
      <c r="I82" s="530"/>
      <c r="J82" s="530" t="s">
        <v>240</v>
      </c>
      <c r="K82" s="530">
        <v>1</v>
      </c>
      <c r="L82" s="526">
        <v>1780</v>
      </c>
      <c r="M82" s="526" t="s">
        <v>706</v>
      </c>
      <c r="N82" s="533" t="s">
        <v>134</v>
      </c>
      <c r="O82" s="535" t="s">
        <v>132</v>
      </c>
    </row>
    <row r="83" spans="1:15" s="531" customFormat="1" ht="42.75" customHeight="1">
      <c r="A83" s="525">
        <v>11</v>
      </c>
      <c r="B83" s="526" t="s">
        <v>708</v>
      </c>
      <c r="C83" s="526" t="s">
        <v>689</v>
      </c>
      <c r="D83" s="527">
        <f>'сравнение затрат до и после Зах'!E84</f>
        <v>0.76</v>
      </c>
      <c r="E83" s="526" t="s">
        <v>520</v>
      </c>
      <c r="F83" s="526" t="s">
        <v>521</v>
      </c>
      <c r="G83" s="530"/>
      <c r="H83" s="530"/>
      <c r="I83" s="530"/>
      <c r="J83" s="530" t="s">
        <v>241</v>
      </c>
      <c r="K83" s="530">
        <v>1</v>
      </c>
      <c r="L83" s="526">
        <v>1200</v>
      </c>
      <c r="M83" s="526" t="s">
        <v>706</v>
      </c>
      <c r="N83" s="533" t="s">
        <v>134</v>
      </c>
      <c r="O83" s="535" t="s">
        <v>132</v>
      </c>
    </row>
    <row r="84" spans="1:15" s="531" customFormat="1" ht="42.75" customHeight="1">
      <c r="A84" s="525">
        <v>12</v>
      </c>
      <c r="B84" s="526" t="s">
        <v>709</v>
      </c>
      <c r="C84" s="526" t="s">
        <v>689</v>
      </c>
      <c r="D84" s="527">
        <f>'сравнение затрат до и после Зах'!E85</f>
        <v>0.83</v>
      </c>
      <c r="E84" s="526" t="s">
        <v>520</v>
      </c>
      <c r="F84" s="526" t="s">
        <v>521</v>
      </c>
      <c r="G84" s="530"/>
      <c r="H84" s="530"/>
      <c r="I84" s="530"/>
      <c r="J84" s="530" t="s">
        <v>709</v>
      </c>
      <c r="K84" s="530">
        <v>1</v>
      </c>
      <c r="L84" s="526">
        <v>1150</v>
      </c>
      <c r="M84" s="526" t="s">
        <v>706</v>
      </c>
      <c r="N84" s="533" t="s">
        <v>134</v>
      </c>
      <c r="O84" s="535" t="s">
        <v>132</v>
      </c>
    </row>
    <row r="85" spans="1:15" s="531" customFormat="1" ht="49.5" customHeight="1">
      <c r="A85" s="525">
        <v>13</v>
      </c>
      <c r="B85" s="526" t="s">
        <v>664</v>
      </c>
      <c r="C85" s="526" t="s">
        <v>689</v>
      </c>
      <c r="D85" s="527">
        <f>'сравнение затрат до и после Зах'!E86</f>
        <v>3.15</v>
      </c>
      <c r="E85" s="526" t="s">
        <v>520</v>
      </c>
      <c r="F85" s="526" t="s">
        <v>521</v>
      </c>
      <c r="G85" s="530"/>
      <c r="H85" s="530"/>
      <c r="I85" s="530"/>
      <c r="J85" s="532" t="s">
        <v>242</v>
      </c>
      <c r="K85" s="532">
        <v>1</v>
      </c>
      <c r="L85" s="526">
        <v>9217</v>
      </c>
      <c r="M85" s="526" t="s">
        <v>710</v>
      </c>
      <c r="N85" s="533" t="s">
        <v>134</v>
      </c>
      <c r="O85" s="535" t="s">
        <v>132</v>
      </c>
    </row>
    <row r="86" spans="1:15" s="531" customFormat="1" ht="42.75" customHeight="1">
      <c r="A86" s="525">
        <v>14</v>
      </c>
      <c r="B86" s="526" t="s">
        <v>711</v>
      </c>
      <c r="C86" s="526" t="s">
        <v>689</v>
      </c>
      <c r="D86" s="527">
        <f>'сравнение затрат до и после Зах'!E87</f>
        <v>0.53</v>
      </c>
      <c r="E86" s="526" t="s">
        <v>520</v>
      </c>
      <c r="F86" s="526" t="s">
        <v>521</v>
      </c>
      <c r="G86" s="530" t="s">
        <v>67</v>
      </c>
      <c r="H86" s="530">
        <v>16</v>
      </c>
      <c r="I86" s="530">
        <v>710</v>
      </c>
      <c r="J86" s="533"/>
      <c r="K86" s="533"/>
      <c r="L86" s="526"/>
      <c r="M86" s="530" t="s">
        <v>712</v>
      </c>
      <c r="N86" s="533" t="s">
        <v>134</v>
      </c>
      <c r="O86" s="535" t="s">
        <v>132</v>
      </c>
    </row>
    <row r="87" spans="1:15" s="531" customFormat="1" ht="42.75" customHeight="1">
      <c r="A87" s="525">
        <v>15</v>
      </c>
      <c r="B87" s="526" t="s">
        <v>713</v>
      </c>
      <c r="C87" s="526" t="s">
        <v>714</v>
      </c>
      <c r="D87" s="527">
        <f>'сравнение затрат до и после Зах'!E88</f>
        <v>1</v>
      </c>
      <c r="E87" s="526" t="s">
        <v>520</v>
      </c>
      <c r="F87" s="526" t="s">
        <v>521</v>
      </c>
      <c r="G87" s="530" t="s">
        <v>117</v>
      </c>
      <c r="H87" s="530">
        <v>45</v>
      </c>
      <c r="I87" s="530">
        <v>2407</v>
      </c>
      <c r="J87" s="543"/>
      <c r="K87" s="543"/>
      <c r="L87" s="526"/>
      <c r="M87" s="526" t="s">
        <v>715</v>
      </c>
      <c r="N87" s="533" t="s">
        <v>134</v>
      </c>
      <c r="O87" s="535" t="s">
        <v>132</v>
      </c>
    </row>
    <row r="88" spans="1:15" s="531" customFormat="1" ht="88.5" customHeight="1">
      <c r="A88" s="525">
        <v>16</v>
      </c>
      <c r="B88" s="526" t="s">
        <v>716</v>
      </c>
      <c r="C88" s="526" t="s">
        <v>717</v>
      </c>
      <c r="D88" s="527">
        <f>'сравнение затрат до и после Зах'!E89</f>
        <v>6.78</v>
      </c>
      <c r="E88" s="526" t="s">
        <v>520</v>
      </c>
      <c r="F88" s="526" t="s">
        <v>521</v>
      </c>
      <c r="G88" s="530" t="s">
        <v>81</v>
      </c>
      <c r="H88" s="532">
        <v>913</v>
      </c>
      <c r="I88" s="530">
        <v>52009</v>
      </c>
      <c r="J88" s="532" t="s">
        <v>243</v>
      </c>
      <c r="K88" s="532">
        <v>1</v>
      </c>
      <c r="L88" s="526">
        <v>7046</v>
      </c>
      <c r="M88" s="526" t="s">
        <v>718</v>
      </c>
      <c r="N88" s="533" t="s">
        <v>135</v>
      </c>
      <c r="O88" s="535" t="s">
        <v>132</v>
      </c>
    </row>
    <row r="89" spans="1:15" s="531" customFormat="1" ht="39.75" customHeight="1">
      <c r="A89" s="525">
        <v>17</v>
      </c>
      <c r="B89" s="526" t="s">
        <v>719</v>
      </c>
      <c r="C89" s="526" t="s">
        <v>721</v>
      </c>
      <c r="D89" s="527">
        <f>'сравнение затрат до и после Зах'!E90</f>
        <v>0.52</v>
      </c>
      <c r="E89" s="526" t="s">
        <v>520</v>
      </c>
      <c r="F89" s="526" t="s">
        <v>521</v>
      </c>
      <c r="G89" s="530" t="s">
        <v>118</v>
      </c>
      <c r="H89" s="530">
        <v>56</v>
      </c>
      <c r="I89" s="530">
        <v>5219</v>
      </c>
      <c r="J89" s="530"/>
      <c r="K89" s="530"/>
      <c r="L89" s="526"/>
      <c r="M89" s="526" t="s">
        <v>699</v>
      </c>
      <c r="N89" s="533" t="s">
        <v>134</v>
      </c>
      <c r="O89" s="535" t="s">
        <v>132</v>
      </c>
    </row>
    <row r="90" spans="1:15" s="531" customFormat="1" ht="53.25" customHeight="1">
      <c r="A90" s="525">
        <v>18</v>
      </c>
      <c r="B90" s="526" t="s">
        <v>720</v>
      </c>
      <c r="C90" s="526" t="s">
        <v>722</v>
      </c>
      <c r="D90" s="527">
        <f>'сравнение затрат до и после Зах'!E91</f>
        <v>1.5</v>
      </c>
      <c r="E90" s="526" t="s">
        <v>520</v>
      </c>
      <c r="F90" s="526" t="s">
        <v>521</v>
      </c>
      <c r="G90" s="530" t="s">
        <v>86</v>
      </c>
      <c r="H90" s="530">
        <v>337</v>
      </c>
      <c r="I90" s="530">
        <v>19479</v>
      </c>
      <c r="J90" s="530"/>
      <c r="K90" s="530"/>
      <c r="L90" s="526"/>
      <c r="M90" s="526" t="s">
        <v>718</v>
      </c>
      <c r="N90" s="533" t="s">
        <v>135</v>
      </c>
      <c r="O90" s="535" t="s">
        <v>132</v>
      </c>
    </row>
    <row r="91" spans="1:15" s="531" customFormat="1" ht="53.25" customHeight="1">
      <c r="A91" s="525">
        <v>19</v>
      </c>
      <c r="B91" s="526" t="s">
        <v>723</v>
      </c>
      <c r="C91" s="526" t="s">
        <v>689</v>
      </c>
      <c r="D91" s="527">
        <f>'сравнение затрат до и после Зах'!E92</f>
        <v>0.94</v>
      </c>
      <c r="E91" s="526" t="s">
        <v>520</v>
      </c>
      <c r="F91" s="526" t="s">
        <v>521</v>
      </c>
      <c r="G91" s="530" t="s">
        <v>87</v>
      </c>
      <c r="H91" s="530">
        <v>237</v>
      </c>
      <c r="I91" s="530">
        <v>12352</v>
      </c>
      <c r="J91" s="530"/>
      <c r="K91" s="530"/>
      <c r="L91" s="526"/>
      <c r="M91" s="526" t="s">
        <v>699</v>
      </c>
      <c r="N91" s="533" t="s">
        <v>134</v>
      </c>
      <c r="O91" s="535" t="s">
        <v>132</v>
      </c>
    </row>
    <row r="92" spans="1:15" s="531" customFormat="1" ht="48.75" customHeight="1">
      <c r="A92" s="525">
        <v>20</v>
      </c>
      <c r="B92" s="526" t="s">
        <v>724</v>
      </c>
      <c r="C92" s="526" t="s">
        <v>689</v>
      </c>
      <c r="D92" s="527">
        <f>'сравнение затрат до и после Зах'!E93</f>
        <v>1.56</v>
      </c>
      <c r="E92" s="526" t="s">
        <v>520</v>
      </c>
      <c r="F92" s="526" t="s">
        <v>521</v>
      </c>
      <c r="G92" s="530" t="s">
        <v>88</v>
      </c>
      <c r="H92" s="530">
        <v>46</v>
      </c>
      <c r="I92" s="530">
        <v>2602</v>
      </c>
      <c r="J92" s="543"/>
      <c r="K92" s="543"/>
      <c r="L92" s="526"/>
      <c r="M92" s="526" t="s">
        <v>725</v>
      </c>
      <c r="N92" s="533" t="s">
        <v>134</v>
      </c>
      <c r="O92" s="535" t="s">
        <v>132</v>
      </c>
    </row>
    <row r="93" spans="1:15" s="531" customFormat="1" ht="35.25" customHeight="1">
      <c r="A93" s="525">
        <v>21</v>
      </c>
      <c r="B93" s="526" t="s">
        <v>726</v>
      </c>
      <c r="C93" s="526" t="s">
        <v>689</v>
      </c>
      <c r="D93" s="527">
        <f>'сравнение затрат до и после Зах'!E94</f>
        <v>1.72</v>
      </c>
      <c r="E93" s="526" t="s">
        <v>520</v>
      </c>
      <c r="F93" s="526" t="s">
        <v>521</v>
      </c>
      <c r="G93" s="530"/>
      <c r="H93" s="530"/>
      <c r="I93" s="530"/>
      <c r="J93" s="532" t="s">
        <v>89</v>
      </c>
      <c r="K93" s="532">
        <v>1</v>
      </c>
      <c r="L93" s="526">
        <v>14300</v>
      </c>
      <c r="M93" s="526" t="s">
        <v>726</v>
      </c>
      <c r="N93" s="533" t="s">
        <v>134</v>
      </c>
      <c r="O93" s="535" t="s">
        <v>132</v>
      </c>
    </row>
    <row r="94" spans="1:15" s="531" customFormat="1" ht="63.75" customHeight="1">
      <c r="A94" s="525">
        <v>22</v>
      </c>
      <c r="B94" s="526" t="s">
        <v>727</v>
      </c>
      <c r="C94" s="526" t="s">
        <v>689</v>
      </c>
      <c r="D94" s="527">
        <f>'сравнение затрат до и после Зах'!E95</f>
        <v>2.3</v>
      </c>
      <c r="E94" s="526" t="s">
        <v>520</v>
      </c>
      <c r="F94" s="526" t="s">
        <v>521</v>
      </c>
      <c r="G94" s="530" t="s">
        <v>90</v>
      </c>
      <c r="H94" s="530">
        <v>60</v>
      </c>
      <c r="I94" s="530">
        <v>3003</v>
      </c>
      <c r="J94" s="532" t="s">
        <v>244</v>
      </c>
      <c r="K94" s="532">
        <v>1</v>
      </c>
      <c r="L94" s="526">
        <v>10748</v>
      </c>
      <c r="M94" s="526" t="s">
        <v>718</v>
      </c>
      <c r="N94" s="533" t="s">
        <v>134</v>
      </c>
      <c r="O94" s="535" t="s">
        <v>132</v>
      </c>
    </row>
    <row r="95" spans="1:15" s="531" customFormat="1" ht="73.5" customHeight="1">
      <c r="A95" s="525">
        <v>23</v>
      </c>
      <c r="B95" s="526" t="s">
        <v>728</v>
      </c>
      <c r="C95" s="526" t="s">
        <v>689</v>
      </c>
      <c r="D95" s="527">
        <f>'сравнение затрат до и после Зах'!E96</f>
        <v>7.98</v>
      </c>
      <c r="E95" s="526" t="s">
        <v>520</v>
      </c>
      <c r="F95" s="526" t="s">
        <v>521</v>
      </c>
      <c r="G95" s="530" t="s">
        <v>119</v>
      </c>
      <c r="H95" s="530">
        <v>945</v>
      </c>
      <c r="I95" s="530">
        <v>56125</v>
      </c>
      <c r="J95" s="532" t="s">
        <v>92</v>
      </c>
      <c r="K95" s="532">
        <v>1</v>
      </c>
      <c r="L95" s="526">
        <v>600</v>
      </c>
      <c r="M95" s="526" t="s">
        <v>718</v>
      </c>
      <c r="N95" s="533" t="s">
        <v>134</v>
      </c>
      <c r="O95" s="535" t="s">
        <v>132</v>
      </c>
    </row>
    <row r="96" spans="1:15" s="531" customFormat="1" ht="68.25" customHeight="1">
      <c r="A96" s="525">
        <v>24</v>
      </c>
      <c r="B96" s="526" t="s">
        <v>729</v>
      </c>
      <c r="C96" s="526" t="s">
        <v>730</v>
      </c>
      <c r="D96" s="527">
        <f>'сравнение затрат до и после Зах'!E97</f>
        <v>6.45</v>
      </c>
      <c r="E96" s="526" t="s">
        <v>520</v>
      </c>
      <c r="F96" s="526" t="s">
        <v>787</v>
      </c>
      <c r="G96" s="530" t="s">
        <v>93</v>
      </c>
      <c r="H96" s="530">
        <v>832</v>
      </c>
      <c r="I96" s="530">
        <v>39100</v>
      </c>
      <c r="J96" s="532" t="s">
        <v>94</v>
      </c>
      <c r="K96" s="532">
        <v>1</v>
      </c>
      <c r="L96" s="526">
        <v>8871</v>
      </c>
      <c r="M96" s="526" t="s">
        <v>731</v>
      </c>
      <c r="N96" s="533" t="s">
        <v>135</v>
      </c>
      <c r="O96" s="535" t="s">
        <v>132</v>
      </c>
    </row>
    <row r="97" spans="1:15" s="531" customFormat="1" ht="41.25" customHeight="1">
      <c r="A97" s="525">
        <v>25</v>
      </c>
      <c r="B97" s="526" t="s">
        <v>732</v>
      </c>
      <c r="C97" s="526" t="s">
        <v>700</v>
      </c>
      <c r="D97" s="527">
        <f>'сравнение затрат до и после Зах'!E98</f>
        <v>6.45</v>
      </c>
      <c r="E97" s="526" t="s">
        <v>520</v>
      </c>
      <c r="F97" s="526" t="s">
        <v>787</v>
      </c>
      <c r="G97" s="530" t="s">
        <v>98</v>
      </c>
      <c r="H97" s="530">
        <v>802</v>
      </c>
      <c r="I97" s="530">
        <v>39940</v>
      </c>
      <c r="J97" s="532" t="s">
        <v>95</v>
      </c>
      <c r="K97" s="532">
        <v>1</v>
      </c>
      <c r="L97" s="526">
        <v>4600</v>
      </c>
      <c r="M97" s="526" t="s">
        <v>731</v>
      </c>
      <c r="N97" s="533" t="s">
        <v>135</v>
      </c>
      <c r="O97" s="535" t="s">
        <v>132</v>
      </c>
    </row>
    <row r="98" spans="1:15" s="531" customFormat="1" ht="80.25" customHeight="1">
      <c r="A98" s="525">
        <v>26</v>
      </c>
      <c r="B98" s="526" t="s">
        <v>733</v>
      </c>
      <c r="C98" s="526" t="s">
        <v>734</v>
      </c>
      <c r="D98" s="527">
        <f>'сравнение затрат до и после Зах'!E99</f>
        <v>6.45</v>
      </c>
      <c r="E98" s="526" t="s">
        <v>520</v>
      </c>
      <c r="F98" s="526" t="s">
        <v>787</v>
      </c>
      <c r="G98" s="530" t="s">
        <v>120</v>
      </c>
      <c r="H98" s="530">
        <v>882</v>
      </c>
      <c r="I98" s="530">
        <v>52020</v>
      </c>
      <c r="J98" s="532" t="s">
        <v>96</v>
      </c>
      <c r="K98" s="532">
        <v>1</v>
      </c>
      <c r="L98" s="526">
        <v>4716</v>
      </c>
      <c r="M98" s="526" t="s">
        <v>731</v>
      </c>
      <c r="N98" s="533" t="s">
        <v>135</v>
      </c>
      <c r="O98" s="535" t="s">
        <v>132</v>
      </c>
    </row>
    <row r="99" spans="1:15" s="164" customFormat="1" ht="44.25" customHeight="1">
      <c r="A99" s="548"/>
      <c r="B99" s="549" t="s">
        <v>735</v>
      </c>
      <c r="C99" s="549">
        <f>A98</f>
        <v>26</v>
      </c>
      <c r="D99" s="550">
        <f>SUM(D73:D98)</f>
        <v>69.00000000000001</v>
      </c>
      <c r="E99" s="549"/>
      <c r="F99" s="549"/>
      <c r="G99" s="549"/>
      <c r="H99" s="549">
        <f>SUM(H73:H98)</f>
        <v>6465</v>
      </c>
      <c r="I99" s="549">
        <f>SUM(I73:I98)</f>
        <v>362713</v>
      </c>
      <c r="J99" s="549"/>
      <c r="K99" s="549">
        <f>SUM(K73:K98)</f>
        <v>18</v>
      </c>
      <c r="L99" s="549">
        <f>SUM(L73:L98)</f>
        <v>87083</v>
      </c>
      <c r="M99" s="549"/>
      <c r="N99" s="549" t="s">
        <v>245</v>
      </c>
      <c r="O99" s="551"/>
    </row>
    <row r="100" spans="1:15" s="254" customFormat="1" ht="32.25" customHeight="1">
      <c r="A100" s="545"/>
      <c r="B100" s="546" t="s">
        <v>736</v>
      </c>
      <c r="C100" s="292"/>
      <c r="D100" s="293"/>
      <c r="E100" s="292"/>
      <c r="F100" s="292"/>
      <c r="G100" s="268"/>
      <c r="H100" s="268"/>
      <c r="I100" s="268"/>
      <c r="J100" s="268"/>
      <c r="K100" s="268"/>
      <c r="L100" s="292"/>
      <c r="M100" s="292"/>
      <c r="N100" s="292"/>
      <c r="O100" s="547"/>
    </row>
    <row r="101" spans="1:15" s="531" customFormat="1" ht="102.75" customHeight="1">
      <c r="A101" s="756">
        <v>1</v>
      </c>
      <c r="B101" s="739" t="s">
        <v>738</v>
      </c>
      <c r="C101" s="739" t="s">
        <v>737</v>
      </c>
      <c r="D101" s="527">
        <f>'сравнение затрат до и после Зах'!E102</f>
        <v>2.12</v>
      </c>
      <c r="E101" s="526"/>
      <c r="F101" s="526"/>
      <c r="G101" s="530" t="s">
        <v>873</v>
      </c>
      <c r="H101" s="530">
        <v>1145</v>
      </c>
      <c r="I101" s="530">
        <v>58828</v>
      </c>
      <c r="J101" s="530"/>
      <c r="K101" s="530"/>
      <c r="L101" s="526"/>
      <c r="M101" s="526" t="s">
        <v>739</v>
      </c>
      <c r="N101" s="533" t="s">
        <v>134</v>
      </c>
      <c r="O101" s="535" t="s">
        <v>132</v>
      </c>
    </row>
    <row r="102" spans="1:15" s="531" customFormat="1" ht="111" customHeight="1">
      <c r="A102" s="756"/>
      <c r="B102" s="739"/>
      <c r="C102" s="739"/>
      <c r="D102" s="527">
        <f>'сравнение затрат до и после Зах'!E103</f>
        <v>2.67</v>
      </c>
      <c r="E102" s="526"/>
      <c r="F102" s="526"/>
      <c r="G102" s="530" t="s">
        <v>366</v>
      </c>
      <c r="H102" s="530">
        <v>1750</v>
      </c>
      <c r="I102" s="530">
        <v>76762</v>
      </c>
      <c r="J102" s="530"/>
      <c r="K102" s="530"/>
      <c r="L102" s="526"/>
      <c r="M102" s="526"/>
      <c r="N102" s="533" t="s">
        <v>134</v>
      </c>
      <c r="O102" s="535" t="s">
        <v>132</v>
      </c>
    </row>
    <row r="103" spans="1:15" s="531" customFormat="1" ht="96" customHeight="1">
      <c r="A103" s="756"/>
      <c r="B103" s="739"/>
      <c r="C103" s="739"/>
      <c r="D103" s="527">
        <f>'сравнение затрат до и после Зах'!E104</f>
        <v>2.09</v>
      </c>
      <c r="E103" s="526"/>
      <c r="F103" s="526"/>
      <c r="G103" s="530" t="s">
        <v>802</v>
      </c>
      <c r="H103" s="530">
        <v>948</v>
      </c>
      <c r="I103" s="530">
        <v>41232</v>
      </c>
      <c r="J103" s="530"/>
      <c r="K103" s="530"/>
      <c r="L103" s="526"/>
      <c r="M103" s="526"/>
      <c r="N103" s="533" t="s">
        <v>134</v>
      </c>
      <c r="O103" s="535" t="s">
        <v>132</v>
      </c>
    </row>
    <row r="104" spans="1:15" s="531" customFormat="1" ht="108" customHeight="1">
      <c r="A104" s="756"/>
      <c r="B104" s="739"/>
      <c r="C104" s="739"/>
      <c r="D104" s="527">
        <f>'сравнение затрат до и после Зах'!E105</f>
        <v>1.9</v>
      </c>
      <c r="E104" s="526"/>
      <c r="F104" s="526"/>
      <c r="G104" s="530" t="s">
        <v>446</v>
      </c>
      <c r="H104" s="530">
        <v>676</v>
      </c>
      <c r="I104" s="530">
        <v>33538</v>
      </c>
      <c r="J104" s="530"/>
      <c r="K104" s="530"/>
      <c r="L104" s="526"/>
      <c r="M104" s="526"/>
      <c r="N104" s="533" t="s">
        <v>134</v>
      </c>
      <c r="O104" s="535" t="s">
        <v>132</v>
      </c>
    </row>
    <row r="105" spans="1:15" s="531" customFormat="1" ht="112.5" customHeight="1">
      <c r="A105" s="756"/>
      <c r="B105" s="739"/>
      <c r="C105" s="739"/>
      <c r="D105" s="527">
        <f>'сравнение затрат до и после Зах'!E106</f>
        <v>2.54</v>
      </c>
      <c r="E105" s="526"/>
      <c r="F105" s="526"/>
      <c r="G105" s="530" t="s">
        <v>368</v>
      </c>
      <c r="H105" s="530">
        <v>493</v>
      </c>
      <c r="I105" s="530">
        <v>23333</v>
      </c>
      <c r="J105" s="530"/>
      <c r="K105" s="530"/>
      <c r="L105" s="526"/>
      <c r="M105" s="526"/>
      <c r="N105" s="533" t="s">
        <v>134</v>
      </c>
      <c r="O105" s="535" t="s">
        <v>132</v>
      </c>
    </row>
    <row r="106" spans="1:15" s="531" customFormat="1" ht="51.75" customHeight="1">
      <c r="A106" s="756"/>
      <c r="B106" s="739"/>
      <c r="C106" s="739"/>
      <c r="D106" s="527">
        <f>'сравнение затрат до и после Зах'!E107</f>
        <v>0.035</v>
      </c>
      <c r="E106" s="526"/>
      <c r="F106" s="526"/>
      <c r="G106" s="530"/>
      <c r="H106" s="530"/>
      <c r="I106" s="530"/>
      <c r="J106" s="530" t="s">
        <v>740</v>
      </c>
      <c r="K106" s="530"/>
      <c r="L106" s="526">
        <v>2090</v>
      </c>
      <c r="M106" s="526"/>
      <c r="N106" s="526" t="s">
        <v>131</v>
      </c>
      <c r="O106" s="528" t="s">
        <v>109</v>
      </c>
    </row>
    <row r="107" spans="1:15" s="531" customFormat="1" ht="60.75" customHeight="1">
      <c r="A107" s="756"/>
      <c r="B107" s="739"/>
      <c r="C107" s="739"/>
      <c r="D107" s="527">
        <f>'сравнение затрат до и после Зах'!E108</f>
        <v>0.14</v>
      </c>
      <c r="E107" s="526"/>
      <c r="F107" s="526"/>
      <c r="G107" s="530"/>
      <c r="H107" s="530"/>
      <c r="I107" s="530"/>
      <c r="J107" s="530" t="s">
        <v>741</v>
      </c>
      <c r="K107" s="530">
        <v>1</v>
      </c>
      <c r="L107" s="526">
        <v>2778</v>
      </c>
      <c r="M107" s="526"/>
      <c r="N107" s="526" t="s">
        <v>131</v>
      </c>
      <c r="O107" s="528" t="s">
        <v>109</v>
      </c>
    </row>
    <row r="108" spans="1:15" s="531" customFormat="1" ht="51.75" customHeight="1">
      <c r="A108" s="756"/>
      <c r="B108" s="739"/>
      <c r="C108" s="739"/>
      <c r="D108" s="527">
        <f>'сравнение затрат до и после Зах'!E109</f>
        <v>0.52</v>
      </c>
      <c r="E108" s="526"/>
      <c r="F108" s="526"/>
      <c r="G108" s="530"/>
      <c r="H108" s="530"/>
      <c r="I108" s="530"/>
      <c r="J108" s="530" t="s">
        <v>742</v>
      </c>
      <c r="K108" s="530">
        <v>1</v>
      </c>
      <c r="L108" s="526">
        <v>15480</v>
      </c>
      <c r="M108" s="526"/>
      <c r="N108" s="526" t="s">
        <v>131</v>
      </c>
      <c r="O108" s="528" t="s">
        <v>109</v>
      </c>
    </row>
    <row r="109" spans="1:15" s="531" customFormat="1" ht="50.25" customHeight="1">
      <c r="A109" s="756"/>
      <c r="B109" s="739"/>
      <c r="C109" s="739"/>
      <c r="D109" s="527">
        <f>'сравнение затрат до и после Зах'!E110</f>
        <v>0.6</v>
      </c>
      <c r="E109" s="526"/>
      <c r="F109" s="526"/>
      <c r="G109" s="530"/>
      <c r="H109" s="530"/>
      <c r="I109" s="530"/>
      <c r="J109" s="530" t="s">
        <v>743</v>
      </c>
      <c r="K109" s="530">
        <v>1</v>
      </c>
      <c r="L109" s="526">
        <v>14300</v>
      </c>
      <c r="M109" s="526"/>
      <c r="N109" s="526" t="s">
        <v>131</v>
      </c>
      <c r="O109" s="528" t="s">
        <v>109</v>
      </c>
    </row>
    <row r="110" spans="1:15" s="531" customFormat="1" ht="61.5" customHeight="1">
      <c r="A110" s="756"/>
      <c r="B110" s="739"/>
      <c r="C110" s="739"/>
      <c r="D110" s="527">
        <f>'сравнение затрат до и после Зах'!E111</f>
        <v>0.13</v>
      </c>
      <c r="E110" s="526"/>
      <c r="F110" s="526"/>
      <c r="G110" s="530"/>
      <c r="H110" s="530"/>
      <c r="I110" s="530"/>
      <c r="J110" s="530" t="s">
        <v>744</v>
      </c>
      <c r="K110" s="530">
        <v>1</v>
      </c>
      <c r="L110" s="526">
        <v>895</v>
      </c>
      <c r="M110" s="526"/>
      <c r="N110" s="526" t="s">
        <v>131</v>
      </c>
      <c r="O110" s="528" t="s">
        <v>109</v>
      </c>
    </row>
    <row r="111" spans="1:15" s="531" customFormat="1" ht="60" customHeight="1">
      <c r="A111" s="756"/>
      <c r="B111" s="739"/>
      <c r="C111" s="739"/>
      <c r="D111" s="527">
        <f>'сравнение затрат до и после Зах'!E112</f>
        <v>0.05</v>
      </c>
      <c r="E111" s="526"/>
      <c r="F111" s="526"/>
      <c r="G111" s="530"/>
      <c r="H111" s="530"/>
      <c r="I111" s="530"/>
      <c r="J111" s="530" t="s">
        <v>745</v>
      </c>
      <c r="K111" s="530">
        <v>1</v>
      </c>
      <c r="L111" s="526">
        <v>94</v>
      </c>
      <c r="M111" s="526"/>
      <c r="N111" s="526" t="s">
        <v>131</v>
      </c>
      <c r="O111" s="528" t="s">
        <v>109</v>
      </c>
    </row>
    <row r="112" spans="1:15" s="164" customFormat="1" ht="52.5" customHeight="1">
      <c r="A112" s="548"/>
      <c r="B112" s="549" t="s">
        <v>746</v>
      </c>
      <c r="C112" s="549">
        <v>1</v>
      </c>
      <c r="D112" s="550">
        <f>SUM(D101:D111)</f>
        <v>12.795000000000002</v>
      </c>
      <c r="E112" s="549"/>
      <c r="F112" s="549"/>
      <c r="G112" s="549"/>
      <c r="H112" s="549">
        <f>SUM(H101:H111)</f>
        <v>5012</v>
      </c>
      <c r="I112" s="549">
        <f>SUM(I101:I111)</f>
        <v>233693</v>
      </c>
      <c r="J112" s="549"/>
      <c r="K112" s="549">
        <f>SUM(K101:K111)</f>
        <v>5</v>
      </c>
      <c r="L112" s="549">
        <f>SUM(L101:L111)</f>
        <v>35637</v>
      </c>
      <c r="M112" s="549"/>
      <c r="N112" s="549" t="s">
        <v>246</v>
      </c>
      <c r="O112" s="551"/>
    </row>
    <row r="113" spans="1:15" s="164" customFormat="1" ht="36.75" customHeight="1">
      <c r="A113" s="545"/>
      <c r="B113" s="546" t="s">
        <v>747</v>
      </c>
      <c r="C113" s="546"/>
      <c r="D113" s="553"/>
      <c r="E113" s="546"/>
      <c r="F113" s="546"/>
      <c r="G113" s="229"/>
      <c r="H113" s="229"/>
      <c r="I113" s="229"/>
      <c r="J113" s="229"/>
      <c r="K113" s="229"/>
      <c r="L113" s="546"/>
      <c r="M113" s="546"/>
      <c r="N113" s="546"/>
      <c r="O113" s="554"/>
    </row>
    <row r="114" spans="1:15" s="164" customFormat="1" ht="33.75" customHeight="1">
      <c r="A114" s="545"/>
      <c r="B114" s="552" t="s">
        <v>69</v>
      </c>
      <c r="C114" s="546"/>
      <c r="D114" s="553"/>
      <c r="E114" s="546"/>
      <c r="F114" s="546"/>
      <c r="G114" s="229"/>
      <c r="H114" s="229"/>
      <c r="I114" s="229"/>
      <c r="J114" s="229"/>
      <c r="K114" s="229"/>
      <c r="L114" s="546"/>
      <c r="M114" s="546"/>
      <c r="N114" s="546"/>
      <c r="O114" s="554"/>
    </row>
    <row r="115" spans="1:15" s="531" customFormat="1" ht="128.25" customHeight="1">
      <c r="A115" s="525">
        <v>1</v>
      </c>
      <c r="B115" s="533"/>
      <c r="C115" s="534" t="s">
        <v>748</v>
      </c>
      <c r="D115" s="527">
        <f>'сравнение затрат до и после Зах'!E116</f>
        <v>3.61</v>
      </c>
      <c r="E115" s="534" t="s">
        <v>520</v>
      </c>
      <c r="F115" s="534" t="s">
        <v>521</v>
      </c>
      <c r="G115" s="532" t="s">
        <v>801</v>
      </c>
      <c r="H115" s="530">
        <v>999</v>
      </c>
      <c r="I115" s="530">
        <v>40030</v>
      </c>
      <c r="J115" s="530"/>
      <c r="K115" s="530"/>
      <c r="L115" s="526"/>
      <c r="M115" s="526" t="s">
        <v>749</v>
      </c>
      <c r="N115" s="533" t="s">
        <v>134</v>
      </c>
      <c r="O115" s="535" t="s">
        <v>132</v>
      </c>
    </row>
    <row r="116" spans="1:15" s="531" customFormat="1" ht="32.25" customHeight="1">
      <c r="A116" s="756">
        <v>2</v>
      </c>
      <c r="B116" s="526"/>
      <c r="C116" s="526" t="s">
        <v>756</v>
      </c>
      <c r="D116" s="527">
        <f>'сравнение затрат до и после Зах'!E117</f>
        <v>0.18</v>
      </c>
      <c r="E116" s="526" t="s">
        <v>520</v>
      </c>
      <c r="F116" s="526" t="s">
        <v>627</v>
      </c>
      <c r="G116" s="530"/>
      <c r="H116" s="530"/>
      <c r="I116" s="530"/>
      <c r="J116" s="530" t="s">
        <v>750</v>
      </c>
      <c r="K116" s="530">
        <v>1</v>
      </c>
      <c r="L116" s="526">
        <v>1259</v>
      </c>
      <c r="M116" s="526"/>
      <c r="N116" s="533" t="s">
        <v>134</v>
      </c>
      <c r="O116" s="535" t="s">
        <v>132</v>
      </c>
    </row>
    <row r="117" spans="1:15" s="531" customFormat="1" ht="42.75" customHeight="1">
      <c r="A117" s="757"/>
      <c r="B117" s="526"/>
      <c r="C117" s="526" t="s">
        <v>103</v>
      </c>
      <c r="D117" s="527">
        <f>'сравнение затрат до и после Зах'!E118</f>
        <v>0.07</v>
      </c>
      <c r="E117" s="526" t="s">
        <v>520</v>
      </c>
      <c r="F117" s="526" t="s">
        <v>627</v>
      </c>
      <c r="G117" s="530"/>
      <c r="H117" s="530"/>
      <c r="I117" s="530"/>
      <c r="J117" s="530" t="s">
        <v>753</v>
      </c>
      <c r="K117" s="530">
        <v>1</v>
      </c>
      <c r="L117" s="526">
        <v>805</v>
      </c>
      <c r="M117" s="526"/>
      <c r="N117" s="533" t="s">
        <v>134</v>
      </c>
      <c r="O117" s="535" t="s">
        <v>132</v>
      </c>
    </row>
    <row r="118" spans="1:15" s="531" customFormat="1" ht="27.75" customHeight="1">
      <c r="A118" s="525">
        <v>3</v>
      </c>
      <c r="B118" s="526"/>
      <c r="C118" s="526" t="s">
        <v>688</v>
      </c>
      <c r="D118" s="527">
        <f>'сравнение затрат до и после Зах'!E119</f>
        <v>0.37</v>
      </c>
      <c r="E118" s="526" t="s">
        <v>520</v>
      </c>
      <c r="F118" s="526" t="s">
        <v>627</v>
      </c>
      <c r="G118" s="530"/>
      <c r="H118" s="530"/>
      <c r="I118" s="530"/>
      <c r="J118" s="530" t="s">
        <v>751</v>
      </c>
      <c r="K118" s="530">
        <v>1</v>
      </c>
      <c r="L118" s="526">
        <v>1870</v>
      </c>
      <c r="M118" s="526"/>
      <c r="N118" s="533" t="s">
        <v>134</v>
      </c>
      <c r="O118" s="535" t="s">
        <v>132</v>
      </c>
    </row>
    <row r="119" spans="1:15" s="531" customFormat="1" ht="39.75" customHeight="1">
      <c r="A119" s="756">
        <v>4</v>
      </c>
      <c r="B119" s="526"/>
      <c r="C119" s="526" t="s">
        <v>757</v>
      </c>
      <c r="D119" s="527">
        <f>'сравнение затрат до и после Зах'!E120</f>
        <v>0.07</v>
      </c>
      <c r="E119" s="526" t="s">
        <v>520</v>
      </c>
      <c r="F119" s="526" t="s">
        <v>627</v>
      </c>
      <c r="G119" s="530"/>
      <c r="H119" s="530"/>
      <c r="I119" s="530"/>
      <c r="J119" s="530" t="s">
        <v>752</v>
      </c>
      <c r="K119" s="530">
        <v>1</v>
      </c>
      <c r="L119" s="526">
        <v>849</v>
      </c>
      <c r="M119" s="526"/>
      <c r="N119" s="533" t="s">
        <v>134</v>
      </c>
      <c r="O119" s="535" t="s">
        <v>132</v>
      </c>
    </row>
    <row r="120" spans="1:15" s="531" customFormat="1" ht="36.75" customHeight="1">
      <c r="A120" s="757"/>
      <c r="B120" s="526"/>
      <c r="C120" s="526" t="s">
        <v>757</v>
      </c>
      <c r="D120" s="527">
        <f>'сравнение затрат до и после Зах'!E121</f>
        <v>0.03</v>
      </c>
      <c r="E120" s="526" t="s">
        <v>520</v>
      </c>
      <c r="F120" s="526" t="s">
        <v>521</v>
      </c>
      <c r="G120" s="530"/>
      <c r="H120" s="530"/>
      <c r="I120" s="530"/>
      <c r="J120" s="530" t="s">
        <v>754</v>
      </c>
      <c r="K120" s="530">
        <v>1</v>
      </c>
      <c r="L120" s="526">
        <v>160</v>
      </c>
      <c r="M120" s="526"/>
      <c r="N120" s="533" t="s">
        <v>134</v>
      </c>
      <c r="O120" s="535" t="s">
        <v>132</v>
      </c>
    </row>
    <row r="121" spans="1:15" s="164" customFormat="1" ht="41.25" customHeight="1">
      <c r="A121" s="555"/>
      <c r="B121" s="556" t="s">
        <v>755</v>
      </c>
      <c r="C121" s="556">
        <f>A119</f>
        <v>4</v>
      </c>
      <c r="D121" s="557">
        <f>SUM(D115:D120)</f>
        <v>4.33</v>
      </c>
      <c r="E121" s="556"/>
      <c r="F121" s="556"/>
      <c r="G121" s="556"/>
      <c r="H121" s="556">
        <f>SUM(H115:H120)</f>
        <v>999</v>
      </c>
      <c r="I121" s="556">
        <f>SUM(I115:I120)</f>
        <v>40030</v>
      </c>
      <c r="J121" s="556"/>
      <c r="K121" s="556">
        <f>SUM(K115:K120)</f>
        <v>5</v>
      </c>
      <c r="L121" s="556">
        <f>SUM(L115:L120)</f>
        <v>4943</v>
      </c>
      <c r="M121" s="556"/>
      <c r="N121" s="556" t="s">
        <v>138</v>
      </c>
      <c r="O121" s="558"/>
    </row>
    <row r="122" spans="1:15" s="563" customFormat="1" ht="35.25" customHeight="1">
      <c r="A122" s="559"/>
      <c r="B122" s="546" t="s">
        <v>759</v>
      </c>
      <c r="C122" s="560"/>
      <c r="D122" s="561"/>
      <c r="E122" s="229"/>
      <c r="F122" s="229"/>
      <c r="G122" s="229"/>
      <c r="H122" s="560"/>
      <c r="I122" s="560"/>
      <c r="J122" s="560"/>
      <c r="K122" s="560"/>
      <c r="L122" s="560"/>
      <c r="M122" s="229"/>
      <c r="N122" s="229"/>
      <c r="O122" s="562"/>
    </row>
    <row r="123" spans="1:15" s="531" customFormat="1" ht="58.5" customHeight="1">
      <c r="A123" s="525">
        <v>1</v>
      </c>
      <c r="B123" s="533"/>
      <c r="C123" s="534" t="s">
        <v>760</v>
      </c>
      <c r="D123" s="527">
        <f>'сравнение затрат до и после Зах'!E124</f>
        <v>0.06</v>
      </c>
      <c r="E123" s="526" t="s">
        <v>520</v>
      </c>
      <c r="F123" s="526" t="s">
        <v>521</v>
      </c>
      <c r="G123" s="530" t="s">
        <v>369</v>
      </c>
      <c r="H123" s="530">
        <v>29</v>
      </c>
      <c r="I123" s="530">
        <v>1356</v>
      </c>
      <c r="J123" s="530"/>
      <c r="K123" s="530"/>
      <c r="L123" s="526"/>
      <c r="M123" s="526" t="s">
        <v>749</v>
      </c>
      <c r="N123" s="533" t="s">
        <v>134</v>
      </c>
      <c r="O123" s="535" t="s">
        <v>132</v>
      </c>
    </row>
    <row r="124" spans="1:15" s="531" customFormat="1" ht="36" customHeight="1">
      <c r="A124" s="525"/>
      <c r="B124" s="526"/>
      <c r="C124" s="534" t="s">
        <v>777</v>
      </c>
      <c r="D124" s="527">
        <f>'сравнение затрат до и после Зах'!E125</f>
        <v>0.06</v>
      </c>
      <c r="E124" s="526"/>
      <c r="F124" s="526"/>
      <c r="G124" s="530"/>
      <c r="H124" s="530"/>
      <c r="I124" s="530"/>
      <c r="J124" s="530" t="s">
        <v>876</v>
      </c>
      <c r="K124" s="530">
        <v>1</v>
      </c>
      <c r="L124" s="526">
        <v>1324</v>
      </c>
      <c r="M124" s="526"/>
      <c r="N124" s="533" t="s">
        <v>134</v>
      </c>
      <c r="O124" s="535" t="s">
        <v>132</v>
      </c>
    </row>
    <row r="125" spans="1:15" s="531" customFormat="1" ht="42.75" customHeight="1">
      <c r="A125" s="525">
        <v>2</v>
      </c>
      <c r="B125" s="526"/>
      <c r="C125" s="534" t="s">
        <v>689</v>
      </c>
      <c r="D125" s="527">
        <f>'сравнение затрат до и после Зах'!E126</f>
        <v>0.12</v>
      </c>
      <c r="E125" s="526" t="s">
        <v>520</v>
      </c>
      <c r="F125" s="526" t="s">
        <v>521</v>
      </c>
      <c r="G125" s="530"/>
      <c r="H125" s="530"/>
      <c r="I125" s="530"/>
      <c r="J125" s="530" t="s">
        <v>803</v>
      </c>
      <c r="K125" s="530">
        <v>1</v>
      </c>
      <c r="L125" s="526">
        <v>2815</v>
      </c>
      <c r="M125" s="526" t="s">
        <v>749</v>
      </c>
      <c r="N125" s="533" t="s">
        <v>134</v>
      </c>
      <c r="O125" s="535" t="s">
        <v>132</v>
      </c>
    </row>
    <row r="126" spans="1:15" s="531" customFormat="1" ht="45.75" customHeight="1">
      <c r="A126" s="525">
        <v>3</v>
      </c>
      <c r="B126" s="526"/>
      <c r="C126" s="534" t="s">
        <v>689</v>
      </c>
      <c r="D126" s="527">
        <f>'сравнение затрат до и после Зах'!E127</f>
        <v>0.07</v>
      </c>
      <c r="E126" s="526" t="s">
        <v>520</v>
      </c>
      <c r="F126" s="526" t="s">
        <v>521</v>
      </c>
      <c r="G126" s="530"/>
      <c r="H126" s="530"/>
      <c r="I126" s="530"/>
      <c r="J126" s="530" t="s">
        <v>804</v>
      </c>
      <c r="K126" s="530">
        <v>1</v>
      </c>
      <c r="L126" s="526">
        <v>1780</v>
      </c>
      <c r="M126" s="526" t="s">
        <v>763</v>
      </c>
      <c r="N126" s="533" t="s">
        <v>134</v>
      </c>
      <c r="O126" s="535" t="s">
        <v>132</v>
      </c>
    </row>
    <row r="127" spans="1:15" s="531" customFormat="1" ht="39.75" customHeight="1">
      <c r="A127" s="525">
        <v>4</v>
      </c>
      <c r="B127" s="526"/>
      <c r="C127" s="534" t="s">
        <v>689</v>
      </c>
      <c r="D127" s="527">
        <f>'сравнение затрат до и после Зах'!E128</f>
        <v>0.02</v>
      </c>
      <c r="E127" s="526" t="s">
        <v>520</v>
      </c>
      <c r="F127" s="526" t="s">
        <v>521</v>
      </c>
      <c r="G127" s="526"/>
      <c r="H127" s="526"/>
      <c r="I127" s="526"/>
      <c r="J127" s="526" t="s">
        <v>773</v>
      </c>
      <c r="K127" s="526">
        <v>1</v>
      </c>
      <c r="L127" s="526">
        <v>441</v>
      </c>
      <c r="M127" s="526" t="s">
        <v>765</v>
      </c>
      <c r="N127" s="533" t="s">
        <v>134</v>
      </c>
      <c r="O127" s="535" t="s">
        <v>132</v>
      </c>
    </row>
    <row r="128" spans="1:15" s="531" customFormat="1" ht="48.75" customHeight="1">
      <c r="A128" s="525"/>
      <c r="B128" s="526"/>
      <c r="C128" s="534" t="s">
        <v>777</v>
      </c>
      <c r="D128" s="527">
        <f>'сравнение затрат до и после Зах'!E129</f>
        <v>0.04</v>
      </c>
      <c r="E128" s="526" t="s">
        <v>520</v>
      </c>
      <c r="F128" s="739" t="s">
        <v>127</v>
      </c>
      <c r="G128" s="526"/>
      <c r="H128" s="526"/>
      <c r="I128" s="526"/>
      <c r="J128" s="534" t="s">
        <v>806</v>
      </c>
      <c r="K128" s="534">
        <v>1</v>
      </c>
      <c r="L128" s="526">
        <v>830</v>
      </c>
      <c r="M128" s="526" t="s">
        <v>764</v>
      </c>
      <c r="N128" s="533" t="s">
        <v>134</v>
      </c>
      <c r="O128" s="535" t="s">
        <v>132</v>
      </c>
    </row>
    <row r="129" spans="1:15" s="531" customFormat="1" ht="55.5" customHeight="1">
      <c r="A129" s="525"/>
      <c r="B129" s="526"/>
      <c r="C129" s="534" t="s">
        <v>777</v>
      </c>
      <c r="D129" s="527">
        <f>'сравнение затрат до и после Зах'!E130</f>
        <v>0.006</v>
      </c>
      <c r="E129" s="526" t="s">
        <v>520</v>
      </c>
      <c r="F129" s="739"/>
      <c r="G129" s="526"/>
      <c r="H129" s="526"/>
      <c r="I129" s="526"/>
      <c r="J129" s="526" t="s">
        <v>807</v>
      </c>
      <c r="K129" s="526">
        <v>1</v>
      </c>
      <c r="L129" s="526">
        <v>300</v>
      </c>
      <c r="M129" s="526" t="s">
        <v>764</v>
      </c>
      <c r="N129" s="533" t="s">
        <v>134</v>
      </c>
      <c r="O129" s="535" t="s">
        <v>132</v>
      </c>
    </row>
    <row r="130" spans="1:15" s="164" customFormat="1" ht="40.5" customHeight="1">
      <c r="A130" s="564"/>
      <c r="B130" s="565" t="s">
        <v>70</v>
      </c>
      <c r="C130" s="566">
        <f>A127</f>
        <v>4</v>
      </c>
      <c r="D130" s="567">
        <f>SUM(D123:D129)</f>
        <v>0.376</v>
      </c>
      <c r="E130" s="565"/>
      <c r="F130" s="565"/>
      <c r="G130" s="565"/>
      <c r="H130" s="565">
        <f>SUM(H123:H129)</f>
        <v>29</v>
      </c>
      <c r="I130" s="565">
        <f>SUM(I123:I129)</f>
        <v>1356</v>
      </c>
      <c r="J130" s="565"/>
      <c r="K130" s="565">
        <f>SUM(K123:K129)</f>
        <v>6</v>
      </c>
      <c r="L130" s="565">
        <f>SUM(L123:L129)</f>
        <v>7490</v>
      </c>
      <c r="M130" s="565"/>
      <c r="N130" s="565" t="s">
        <v>71</v>
      </c>
      <c r="O130" s="568"/>
    </row>
    <row r="131" spans="1:15" s="164" customFormat="1" ht="37.5" customHeight="1">
      <c r="A131" s="545"/>
      <c r="B131" s="546" t="s">
        <v>761</v>
      </c>
      <c r="C131" s="552"/>
      <c r="D131" s="553"/>
      <c r="E131" s="546"/>
      <c r="F131" s="546"/>
      <c r="G131" s="229"/>
      <c r="H131" s="229"/>
      <c r="I131" s="229"/>
      <c r="J131" s="229"/>
      <c r="K131" s="229"/>
      <c r="L131" s="546"/>
      <c r="M131" s="546"/>
      <c r="N131" s="546"/>
      <c r="O131" s="554"/>
    </row>
    <row r="132" spans="1:15" s="531" customFormat="1" ht="33.75" customHeight="1">
      <c r="A132" s="525"/>
      <c r="B132" s="533"/>
      <c r="C132" s="534" t="s">
        <v>777</v>
      </c>
      <c r="D132" s="527">
        <f>'сравнение затрат до и после Зах'!E133</f>
        <v>0.13</v>
      </c>
      <c r="E132" s="526" t="s">
        <v>520</v>
      </c>
      <c r="F132" s="526"/>
      <c r="G132" s="530" t="s">
        <v>447</v>
      </c>
      <c r="H132" s="530">
        <v>24</v>
      </c>
      <c r="I132" s="530">
        <v>1297</v>
      </c>
      <c r="J132" s="530" t="s">
        <v>774</v>
      </c>
      <c r="K132" s="530">
        <v>1</v>
      </c>
      <c r="L132" s="526">
        <v>529</v>
      </c>
      <c r="M132" s="526" t="s">
        <v>749</v>
      </c>
      <c r="N132" s="533" t="s">
        <v>134</v>
      </c>
      <c r="O132" s="535" t="s">
        <v>132</v>
      </c>
    </row>
    <row r="133" spans="1:15" s="531" customFormat="1" ht="41.25" customHeight="1">
      <c r="A133" s="525">
        <v>1</v>
      </c>
      <c r="B133" s="526"/>
      <c r="C133" s="534" t="s">
        <v>689</v>
      </c>
      <c r="D133" s="527">
        <f>'сравнение затрат до и после Зах'!E134</f>
        <v>0.07</v>
      </c>
      <c r="E133" s="526" t="s">
        <v>520</v>
      </c>
      <c r="F133" s="526" t="s">
        <v>521</v>
      </c>
      <c r="G133" s="526"/>
      <c r="H133" s="526"/>
      <c r="I133" s="526"/>
      <c r="J133" s="526" t="s">
        <v>273</v>
      </c>
      <c r="K133" s="526">
        <v>1</v>
      </c>
      <c r="L133" s="526">
        <v>1759</v>
      </c>
      <c r="M133" s="526" t="s">
        <v>763</v>
      </c>
      <c r="N133" s="533" t="s">
        <v>134</v>
      </c>
      <c r="O133" s="535" t="s">
        <v>132</v>
      </c>
    </row>
    <row r="134" spans="1:15" s="531" customFormat="1" ht="50.25" customHeight="1">
      <c r="A134" s="525">
        <v>2</v>
      </c>
      <c r="B134" s="526"/>
      <c r="C134" s="534" t="s">
        <v>689</v>
      </c>
      <c r="D134" s="527">
        <f>'сравнение затрат до и после Зах'!E135</f>
        <v>0.04</v>
      </c>
      <c r="E134" s="526" t="s">
        <v>520</v>
      </c>
      <c r="F134" s="526" t="s">
        <v>521</v>
      </c>
      <c r="G134" s="526"/>
      <c r="H134" s="526"/>
      <c r="I134" s="526"/>
      <c r="J134" s="526" t="s">
        <v>805</v>
      </c>
      <c r="K134" s="526">
        <v>1</v>
      </c>
      <c r="L134" s="526">
        <v>914</v>
      </c>
      <c r="M134" s="526" t="s">
        <v>764</v>
      </c>
      <c r="N134" s="533" t="s">
        <v>134</v>
      </c>
      <c r="O134" s="535" t="s">
        <v>132</v>
      </c>
    </row>
    <row r="135" spans="1:15" s="531" customFormat="1" ht="38.25" customHeight="1">
      <c r="A135" s="756">
        <v>3</v>
      </c>
      <c r="B135" s="526"/>
      <c r="C135" s="534" t="s">
        <v>106</v>
      </c>
      <c r="D135" s="527">
        <f>'сравнение затрат до и после Зах'!E136</f>
        <v>0.13</v>
      </c>
      <c r="E135" s="534" t="s">
        <v>520</v>
      </c>
      <c r="F135" s="534" t="s">
        <v>521</v>
      </c>
      <c r="G135" s="534" t="s">
        <v>808</v>
      </c>
      <c r="H135" s="526">
        <v>12</v>
      </c>
      <c r="I135" s="526">
        <v>675</v>
      </c>
      <c r="J135" s="526"/>
      <c r="K135" s="526"/>
      <c r="L135" s="526"/>
      <c r="M135" s="526"/>
      <c r="N135" s="533" t="s">
        <v>134</v>
      </c>
      <c r="O135" s="535" t="s">
        <v>132</v>
      </c>
    </row>
    <row r="136" spans="1:15" s="531" customFormat="1" ht="39.75" customHeight="1">
      <c r="A136" s="756"/>
      <c r="B136" s="526"/>
      <c r="C136" s="534" t="s">
        <v>106</v>
      </c>
      <c r="D136" s="527">
        <f>'сравнение затрат до и после Зах'!E137</f>
        <v>0.03</v>
      </c>
      <c r="E136" s="534" t="s">
        <v>798</v>
      </c>
      <c r="F136" s="534" t="s">
        <v>521</v>
      </c>
      <c r="G136" s="534" t="s">
        <v>775</v>
      </c>
      <c r="H136" s="526">
        <v>12</v>
      </c>
      <c r="I136" s="526">
        <v>622</v>
      </c>
      <c r="J136" s="533"/>
      <c r="K136" s="533"/>
      <c r="L136" s="526"/>
      <c r="M136" s="526"/>
      <c r="N136" s="533" t="s">
        <v>134</v>
      </c>
      <c r="O136" s="535" t="s">
        <v>132</v>
      </c>
    </row>
    <row r="137" spans="1:15" s="531" customFormat="1" ht="52.5" customHeight="1">
      <c r="A137" s="756"/>
      <c r="B137" s="526"/>
      <c r="C137" s="534" t="s">
        <v>106</v>
      </c>
      <c r="D137" s="527">
        <f>'сравнение затрат до и после Зах'!E138</f>
        <v>0.04</v>
      </c>
      <c r="E137" s="534" t="s">
        <v>798</v>
      </c>
      <c r="F137" s="534" t="s">
        <v>521</v>
      </c>
      <c r="G137" s="534"/>
      <c r="H137" s="526"/>
      <c r="I137" s="526"/>
      <c r="J137" s="534" t="s">
        <v>877</v>
      </c>
      <c r="K137" s="534">
        <v>1</v>
      </c>
      <c r="L137" s="534">
        <v>2666</v>
      </c>
      <c r="M137" s="526"/>
      <c r="N137" s="533" t="s">
        <v>134</v>
      </c>
      <c r="O137" s="535" t="s">
        <v>132</v>
      </c>
    </row>
    <row r="138" spans="1:15" s="164" customFormat="1" ht="45" customHeight="1">
      <c r="A138" s="555"/>
      <c r="B138" s="556" t="s">
        <v>68</v>
      </c>
      <c r="C138" s="569">
        <f>A135</f>
        <v>3</v>
      </c>
      <c r="D138" s="557">
        <f>SUM(D132:D137)</f>
        <v>0.44</v>
      </c>
      <c r="E138" s="569"/>
      <c r="F138" s="569"/>
      <c r="G138" s="569"/>
      <c r="H138" s="569">
        <f>SUM(H132:H137)</f>
        <v>48</v>
      </c>
      <c r="I138" s="569">
        <f>SUM(I132:I137)</f>
        <v>2594</v>
      </c>
      <c r="J138" s="569"/>
      <c r="K138" s="569">
        <f>SUM(K132:K137)</f>
        <v>4</v>
      </c>
      <c r="L138" s="569">
        <f>SUM(L132:L137)</f>
        <v>5868</v>
      </c>
      <c r="M138" s="556"/>
      <c r="N138" s="556" t="s">
        <v>138</v>
      </c>
      <c r="O138" s="558"/>
    </row>
    <row r="139" spans="1:15" s="563" customFormat="1" ht="33.75" customHeight="1">
      <c r="A139" s="559"/>
      <c r="B139" s="552" t="s">
        <v>768</v>
      </c>
      <c r="C139" s="570"/>
      <c r="D139" s="169"/>
      <c r="E139" s="570"/>
      <c r="F139" s="570"/>
      <c r="G139" s="570"/>
      <c r="H139" s="570"/>
      <c r="I139" s="570"/>
      <c r="J139" s="570"/>
      <c r="K139" s="570"/>
      <c r="L139" s="570"/>
      <c r="M139" s="229"/>
      <c r="N139" s="229"/>
      <c r="O139" s="562"/>
    </row>
    <row r="140" spans="1:15" s="531" customFormat="1" ht="36" customHeight="1">
      <c r="A140" s="525"/>
      <c r="B140" s="533"/>
      <c r="C140" s="534" t="s">
        <v>777</v>
      </c>
      <c r="D140" s="527">
        <f>'сравнение затрат до и после Зах'!E141</f>
        <v>0.02</v>
      </c>
      <c r="E140" s="534" t="s">
        <v>798</v>
      </c>
      <c r="F140" s="534"/>
      <c r="G140" s="534" t="s">
        <v>370</v>
      </c>
      <c r="H140" s="526">
        <v>16</v>
      </c>
      <c r="I140" s="526">
        <v>699</v>
      </c>
      <c r="J140" s="526"/>
      <c r="K140" s="526"/>
      <c r="L140" s="526"/>
      <c r="M140" s="526" t="s">
        <v>749</v>
      </c>
      <c r="N140" s="533" t="s">
        <v>134</v>
      </c>
      <c r="O140" s="535" t="s">
        <v>132</v>
      </c>
    </row>
    <row r="141" spans="1:15" s="531" customFormat="1" ht="40.5" customHeight="1">
      <c r="A141" s="525"/>
      <c r="B141" s="542"/>
      <c r="C141" s="534" t="s">
        <v>777</v>
      </c>
      <c r="D141" s="527">
        <f>'сравнение затрат до и после Зах'!E142</f>
        <v>0.02</v>
      </c>
      <c r="E141" s="534" t="s">
        <v>837</v>
      </c>
      <c r="F141" s="534"/>
      <c r="G141" s="534" t="s">
        <v>809</v>
      </c>
      <c r="H141" s="526">
        <v>16</v>
      </c>
      <c r="I141" s="526">
        <v>699</v>
      </c>
      <c r="J141" s="526"/>
      <c r="K141" s="526"/>
      <c r="L141" s="526"/>
      <c r="M141" s="526"/>
      <c r="N141" s="533" t="s">
        <v>134</v>
      </c>
      <c r="O141" s="535" t="s">
        <v>132</v>
      </c>
    </row>
    <row r="142" spans="1:15" s="531" customFormat="1" ht="36" customHeight="1">
      <c r="A142" s="525"/>
      <c r="B142" s="542"/>
      <c r="C142" s="534" t="s">
        <v>777</v>
      </c>
      <c r="D142" s="527">
        <f>'сравнение затрат до и после Зах'!E143</f>
        <v>0.02</v>
      </c>
      <c r="E142" s="534" t="s">
        <v>520</v>
      </c>
      <c r="F142" s="534"/>
      <c r="G142" s="534" t="s">
        <v>810</v>
      </c>
      <c r="H142" s="526">
        <v>16</v>
      </c>
      <c r="I142" s="526">
        <v>732</v>
      </c>
      <c r="J142" s="526"/>
      <c r="K142" s="526"/>
      <c r="L142" s="526"/>
      <c r="M142" s="526"/>
      <c r="N142" s="533" t="s">
        <v>134</v>
      </c>
      <c r="O142" s="535" t="s">
        <v>132</v>
      </c>
    </row>
    <row r="143" spans="1:15" s="531" customFormat="1" ht="42" customHeight="1">
      <c r="A143" s="525"/>
      <c r="B143" s="542"/>
      <c r="C143" s="534" t="s">
        <v>777</v>
      </c>
      <c r="D143" s="527">
        <f>'сравнение затрат до и после Зах'!E144</f>
        <v>0.02</v>
      </c>
      <c r="E143" s="534" t="s">
        <v>798</v>
      </c>
      <c r="F143" s="534"/>
      <c r="G143" s="534" t="s">
        <v>811</v>
      </c>
      <c r="H143" s="526">
        <v>16</v>
      </c>
      <c r="I143" s="526">
        <v>747</v>
      </c>
      <c r="J143" s="526"/>
      <c r="K143" s="526"/>
      <c r="L143" s="526"/>
      <c r="M143" s="526"/>
      <c r="N143" s="533" t="s">
        <v>134</v>
      </c>
      <c r="O143" s="535" t="s">
        <v>132</v>
      </c>
    </row>
    <row r="144" spans="1:15" s="531" customFormat="1" ht="33" customHeight="1">
      <c r="A144" s="525"/>
      <c r="B144" s="542"/>
      <c r="C144" s="534" t="s">
        <v>777</v>
      </c>
      <c r="D144" s="527">
        <f>'сравнение затрат до и после Зах'!E145</f>
        <v>0.02</v>
      </c>
      <c r="E144" s="534" t="s">
        <v>798</v>
      </c>
      <c r="F144" s="534"/>
      <c r="G144" s="534" t="s">
        <v>812</v>
      </c>
      <c r="H144" s="526">
        <v>16</v>
      </c>
      <c r="I144" s="526">
        <v>789</v>
      </c>
      <c r="J144" s="526"/>
      <c r="K144" s="526"/>
      <c r="L144" s="526"/>
      <c r="M144" s="526"/>
      <c r="N144" s="533" t="s">
        <v>134</v>
      </c>
      <c r="O144" s="535" t="s">
        <v>132</v>
      </c>
    </row>
    <row r="145" spans="1:15" s="531" customFormat="1" ht="37.5" customHeight="1">
      <c r="A145" s="525"/>
      <c r="B145" s="542"/>
      <c r="C145" s="534" t="s">
        <v>777</v>
      </c>
      <c r="D145" s="527">
        <f>'сравнение затрат до и после Зах'!E146</f>
        <v>0.02</v>
      </c>
      <c r="E145" s="534" t="s">
        <v>798</v>
      </c>
      <c r="F145" s="534"/>
      <c r="G145" s="534" t="s">
        <v>813</v>
      </c>
      <c r="H145" s="526">
        <v>16</v>
      </c>
      <c r="I145" s="526">
        <v>789</v>
      </c>
      <c r="J145" s="526"/>
      <c r="K145" s="526"/>
      <c r="L145" s="526"/>
      <c r="M145" s="526"/>
      <c r="N145" s="533" t="s">
        <v>134</v>
      </c>
      <c r="O145" s="535" t="s">
        <v>132</v>
      </c>
    </row>
    <row r="146" spans="1:15" s="531" customFormat="1" ht="78.75" customHeight="1">
      <c r="A146" s="525"/>
      <c r="B146" s="542"/>
      <c r="C146" s="534" t="s">
        <v>777</v>
      </c>
      <c r="D146" s="527">
        <f>'сравнение затрат до и после Зах'!E147</f>
        <v>0.02</v>
      </c>
      <c r="E146" s="534" t="s">
        <v>798</v>
      </c>
      <c r="F146" s="534" t="s">
        <v>100</v>
      </c>
      <c r="G146" s="534"/>
      <c r="H146" s="526"/>
      <c r="I146" s="526"/>
      <c r="J146" s="526" t="s">
        <v>776</v>
      </c>
      <c r="K146" s="526">
        <v>1</v>
      </c>
      <c r="L146" s="526">
        <v>604</v>
      </c>
      <c r="M146" s="526" t="s">
        <v>706</v>
      </c>
      <c r="N146" s="533" t="s">
        <v>134</v>
      </c>
      <c r="O146" s="535" t="s">
        <v>132</v>
      </c>
    </row>
    <row r="147" spans="1:15" s="531" customFormat="1" ht="49.5" customHeight="1">
      <c r="A147" s="525">
        <v>1</v>
      </c>
      <c r="B147" s="542"/>
      <c r="C147" s="534" t="s">
        <v>689</v>
      </c>
      <c r="D147" s="527">
        <f>'сравнение затрат до и после Зах'!E148</f>
        <v>0.02</v>
      </c>
      <c r="E147" s="534" t="s">
        <v>798</v>
      </c>
      <c r="F147" s="534" t="s">
        <v>521</v>
      </c>
      <c r="G147" s="534"/>
      <c r="H147" s="526"/>
      <c r="I147" s="526"/>
      <c r="J147" s="526" t="s">
        <v>814</v>
      </c>
      <c r="K147" s="526">
        <v>1</v>
      </c>
      <c r="L147" s="526">
        <v>527</v>
      </c>
      <c r="M147" s="526"/>
      <c r="N147" s="533" t="s">
        <v>134</v>
      </c>
      <c r="O147" s="535" t="s">
        <v>132</v>
      </c>
    </row>
    <row r="148" spans="1:15" s="531" customFormat="1" ht="42" customHeight="1">
      <c r="A148" s="525">
        <v>2</v>
      </c>
      <c r="B148" s="542"/>
      <c r="C148" s="534" t="s">
        <v>689</v>
      </c>
      <c r="D148" s="527">
        <f>'сравнение затрат до и после Зах'!E149</f>
        <v>0.04</v>
      </c>
      <c r="E148" s="534" t="s">
        <v>798</v>
      </c>
      <c r="F148" s="534" t="s">
        <v>521</v>
      </c>
      <c r="G148" s="534"/>
      <c r="H148" s="526"/>
      <c r="I148" s="526"/>
      <c r="J148" s="526" t="s">
        <v>815</v>
      </c>
      <c r="K148" s="526">
        <v>1</v>
      </c>
      <c r="L148" s="526">
        <v>2811</v>
      </c>
      <c r="M148" s="526"/>
      <c r="N148" s="533" t="s">
        <v>134</v>
      </c>
      <c r="O148" s="535" t="s">
        <v>132</v>
      </c>
    </row>
    <row r="149" spans="1:15" s="531" customFormat="1" ht="30" customHeight="1">
      <c r="A149" s="525"/>
      <c r="B149" s="542"/>
      <c r="C149" s="534" t="s">
        <v>777</v>
      </c>
      <c r="D149" s="527">
        <f>'сравнение затрат до и после Зах'!E150</f>
        <v>0.04</v>
      </c>
      <c r="E149" s="534" t="s">
        <v>798</v>
      </c>
      <c r="F149" s="534"/>
      <c r="G149" s="534"/>
      <c r="H149" s="526"/>
      <c r="I149" s="526"/>
      <c r="J149" s="526" t="s">
        <v>816</v>
      </c>
      <c r="K149" s="526">
        <v>1</v>
      </c>
      <c r="L149" s="526">
        <v>1489</v>
      </c>
      <c r="M149" s="526"/>
      <c r="N149" s="533" t="s">
        <v>134</v>
      </c>
      <c r="O149" s="535" t="s">
        <v>132</v>
      </c>
    </row>
    <row r="150" spans="1:15" s="164" customFormat="1" ht="45" customHeight="1">
      <c r="A150" s="555"/>
      <c r="B150" s="569" t="s">
        <v>779</v>
      </c>
      <c r="C150" s="569">
        <v>2</v>
      </c>
      <c r="D150" s="557">
        <f>SUM(D140:D149)</f>
        <v>0.24000000000000002</v>
      </c>
      <c r="E150" s="569"/>
      <c r="F150" s="569"/>
      <c r="G150" s="569"/>
      <c r="H150" s="569">
        <f>SUM(H140:H149)</f>
        <v>96</v>
      </c>
      <c r="I150" s="569">
        <f>SUM(I140:I149)</f>
        <v>4455</v>
      </c>
      <c r="J150" s="556"/>
      <c r="K150" s="556">
        <f>SUM(K146:K149)</f>
        <v>4</v>
      </c>
      <c r="L150" s="569">
        <f>SUM(L140:L149)</f>
        <v>5431</v>
      </c>
      <c r="M150" s="556"/>
      <c r="N150" s="556" t="s">
        <v>139</v>
      </c>
      <c r="O150" s="558"/>
    </row>
    <row r="151" spans="1:15" s="563" customFormat="1" ht="36" customHeight="1">
      <c r="A151" s="559"/>
      <c r="B151" s="552" t="s">
        <v>766</v>
      </c>
      <c r="C151" s="570"/>
      <c r="D151" s="169"/>
      <c r="E151" s="570"/>
      <c r="F151" s="570"/>
      <c r="G151" s="570"/>
      <c r="H151" s="570"/>
      <c r="I151" s="570"/>
      <c r="J151" s="229"/>
      <c r="K151" s="229"/>
      <c r="L151" s="570"/>
      <c r="M151" s="229"/>
      <c r="N151" s="229"/>
      <c r="O151" s="562"/>
    </row>
    <row r="152" spans="1:15" s="531" customFormat="1" ht="90" customHeight="1">
      <c r="A152" s="525">
        <v>1</v>
      </c>
      <c r="B152" s="533"/>
      <c r="C152" s="534" t="s">
        <v>767</v>
      </c>
      <c r="D152" s="527">
        <f>'сравнение затрат до и после Зах'!E153</f>
        <v>0.64</v>
      </c>
      <c r="E152" s="534" t="s">
        <v>520</v>
      </c>
      <c r="F152" s="534" t="s">
        <v>627</v>
      </c>
      <c r="G152" s="534" t="s">
        <v>371</v>
      </c>
      <c r="H152" s="526">
        <v>454</v>
      </c>
      <c r="I152" s="526">
        <v>21582</v>
      </c>
      <c r="J152" s="526"/>
      <c r="K152" s="526"/>
      <c r="L152" s="526"/>
      <c r="M152" s="526" t="s">
        <v>749</v>
      </c>
      <c r="N152" s="533" t="s">
        <v>134</v>
      </c>
      <c r="O152" s="535" t="s">
        <v>132</v>
      </c>
    </row>
    <row r="153" spans="1:15" s="531" customFormat="1" ht="89.25" customHeight="1">
      <c r="A153" s="525">
        <v>2</v>
      </c>
      <c r="B153" s="544"/>
      <c r="C153" s="534" t="s">
        <v>780</v>
      </c>
      <c r="D153" s="527">
        <f>'сравнение затрат до и после Зах'!E154</f>
        <v>0.724</v>
      </c>
      <c r="E153" s="526" t="s">
        <v>520</v>
      </c>
      <c r="F153" s="526" t="s">
        <v>627</v>
      </c>
      <c r="G153" s="534" t="s">
        <v>372</v>
      </c>
      <c r="H153" s="526">
        <v>570</v>
      </c>
      <c r="I153" s="526">
        <v>26475</v>
      </c>
      <c r="J153" s="526"/>
      <c r="K153" s="526"/>
      <c r="L153" s="526"/>
      <c r="M153" s="526" t="s">
        <v>749</v>
      </c>
      <c r="N153" s="533" t="s">
        <v>135</v>
      </c>
      <c r="O153" s="535" t="s">
        <v>132</v>
      </c>
    </row>
    <row r="154" spans="1:15" s="531" customFormat="1" ht="70.5" customHeight="1">
      <c r="A154" s="756">
        <v>3</v>
      </c>
      <c r="B154" s="544"/>
      <c r="C154" s="534" t="s">
        <v>781</v>
      </c>
      <c r="D154" s="527">
        <f>'сравнение затрат до и после Зах'!E155</f>
        <v>0.51</v>
      </c>
      <c r="E154" s="526" t="s">
        <v>520</v>
      </c>
      <c r="F154" s="526" t="s">
        <v>627</v>
      </c>
      <c r="G154" s="534" t="s">
        <v>373</v>
      </c>
      <c r="H154" s="526">
        <v>450</v>
      </c>
      <c r="I154" s="526">
        <v>17535</v>
      </c>
      <c r="J154" s="526"/>
      <c r="K154" s="526"/>
      <c r="L154" s="526"/>
      <c r="M154" s="526" t="s">
        <v>749</v>
      </c>
      <c r="N154" s="533" t="s">
        <v>134</v>
      </c>
      <c r="O154" s="535" t="s">
        <v>132</v>
      </c>
    </row>
    <row r="155" spans="1:15" s="531" customFormat="1" ht="48.75" customHeight="1">
      <c r="A155" s="757"/>
      <c r="B155" s="544"/>
      <c r="C155" s="526" t="s">
        <v>781</v>
      </c>
      <c r="D155" s="527">
        <f>'сравнение затрат до и после Зах'!E156</f>
        <v>0.06</v>
      </c>
      <c r="E155" s="526" t="s">
        <v>520</v>
      </c>
      <c r="F155" s="526" t="s">
        <v>521</v>
      </c>
      <c r="G155" s="526"/>
      <c r="H155" s="526"/>
      <c r="I155" s="526"/>
      <c r="J155" s="534" t="s">
        <v>817</v>
      </c>
      <c r="K155" s="534">
        <v>1</v>
      </c>
      <c r="L155" s="526">
        <v>1964</v>
      </c>
      <c r="M155" s="526" t="s">
        <v>749</v>
      </c>
      <c r="N155" s="533" t="s">
        <v>134</v>
      </c>
      <c r="O155" s="535" t="s">
        <v>132</v>
      </c>
    </row>
    <row r="156" spans="1:15" s="531" customFormat="1" ht="33.75" customHeight="1">
      <c r="A156" s="757"/>
      <c r="B156" s="544"/>
      <c r="C156" s="526" t="s">
        <v>789</v>
      </c>
      <c r="D156" s="527">
        <f>'сравнение затрат до и после Зах'!E157</f>
        <v>0.07</v>
      </c>
      <c r="E156" s="526" t="s">
        <v>520</v>
      </c>
      <c r="F156" s="526" t="s">
        <v>521</v>
      </c>
      <c r="G156" s="526"/>
      <c r="H156" s="526"/>
      <c r="I156" s="526"/>
      <c r="J156" s="534" t="s">
        <v>874</v>
      </c>
      <c r="K156" s="534">
        <v>1</v>
      </c>
      <c r="L156" s="534">
        <v>2317</v>
      </c>
      <c r="M156" s="526" t="s">
        <v>749</v>
      </c>
      <c r="N156" s="533" t="s">
        <v>134</v>
      </c>
      <c r="O156" s="535" t="s">
        <v>132</v>
      </c>
    </row>
    <row r="157" spans="1:15" s="531" customFormat="1" ht="75" customHeight="1">
      <c r="A157" s="525">
        <v>4</v>
      </c>
      <c r="B157" s="544"/>
      <c r="C157" s="534" t="s">
        <v>782</v>
      </c>
      <c r="D157" s="527">
        <f>'сравнение затрат до и после Зах'!E158</f>
        <v>0.048</v>
      </c>
      <c r="E157" s="526" t="s">
        <v>777</v>
      </c>
      <c r="F157" s="526" t="s">
        <v>521</v>
      </c>
      <c r="G157" s="526"/>
      <c r="H157" s="526"/>
      <c r="I157" s="526"/>
      <c r="J157" s="534" t="s">
        <v>818</v>
      </c>
      <c r="K157" s="534">
        <v>1</v>
      </c>
      <c r="L157" s="526">
        <v>1663</v>
      </c>
      <c r="M157" s="526" t="s">
        <v>749</v>
      </c>
      <c r="N157" s="533" t="s">
        <v>134</v>
      </c>
      <c r="O157" s="535" t="s">
        <v>132</v>
      </c>
    </row>
    <row r="158" spans="1:15" s="531" customFormat="1" ht="69" customHeight="1">
      <c r="A158" s="525">
        <v>5</v>
      </c>
      <c r="B158" s="544"/>
      <c r="C158" s="534" t="s">
        <v>783</v>
      </c>
      <c r="D158" s="527">
        <f>'сравнение затрат до и после Зах'!E159</f>
        <v>0.4</v>
      </c>
      <c r="E158" s="526" t="s">
        <v>784</v>
      </c>
      <c r="F158" s="526" t="s">
        <v>521</v>
      </c>
      <c r="G158" s="526" t="s">
        <v>374</v>
      </c>
      <c r="H158" s="526">
        <v>465</v>
      </c>
      <c r="I158" s="526">
        <v>21516</v>
      </c>
      <c r="J158" s="526"/>
      <c r="K158" s="526"/>
      <c r="L158" s="526"/>
      <c r="M158" s="526" t="s">
        <v>749</v>
      </c>
      <c r="N158" s="533" t="s">
        <v>134</v>
      </c>
      <c r="O158" s="535" t="s">
        <v>132</v>
      </c>
    </row>
    <row r="159" spans="1:15" s="531" customFormat="1" ht="96" customHeight="1">
      <c r="A159" s="525">
        <v>6</v>
      </c>
      <c r="B159" s="544"/>
      <c r="C159" s="534" t="s">
        <v>785</v>
      </c>
      <c r="D159" s="527">
        <f>'сравнение затрат до и после Зах'!E160</f>
        <v>0.8</v>
      </c>
      <c r="E159" s="526" t="s">
        <v>786</v>
      </c>
      <c r="F159" s="526" t="s">
        <v>521</v>
      </c>
      <c r="G159" s="534" t="s">
        <v>375</v>
      </c>
      <c r="H159" s="526">
        <v>837</v>
      </c>
      <c r="I159" s="526">
        <v>38934</v>
      </c>
      <c r="J159" s="526"/>
      <c r="K159" s="526"/>
      <c r="L159" s="526"/>
      <c r="M159" s="526" t="s">
        <v>749</v>
      </c>
      <c r="N159" s="533" t="s">
        <v>134</v>
      </c>
      <c r="O159" s="535" t="s">
        <v>132</v>
      </c>
    </row>
    <row r="160" spans="1:15" s="164" customFormat="1" ht="49.5" customHeight="1">
      <c r="A160" s="555"/>
      <c r="B160" s="569" t="s">
        <v>790</v>
      </c>
      <c r="C160" s="569">
        <v>6</v>
      </c>
      <c r="D160" s="557">
        <f>SUM(D152:D159)</f>
        <v>3.252</v>
      </c>
      <c r="E160" s="556"/>
      <c r="F160" s="556"/>
      <c r="G160" s="569"/>
      <c r="H160" s="569">
        <f>SUM(H152:H159)</f>
        <v>2776</v>
      </c>
      <c r="I160" s="569">
        <f>SUM(I152:I159)</f>
        <v>126042</v>
      </c>
      <c r="J160" s="556"/>
      <c r="K160" s="556">
        <f>SUM(K152:K159)</f>
        <v>3</v>
      </c>
      <c r="L160" s="569">
        <f>SUM(L152:L159)</f>
        <v>5944</v>
      </c>
      <c r="M160" s="556"/>
      <c r="N160" s="556" t="s">
        <v>247</v>
      </c>
      <c r="O160" s="558"/>
    </row>
    <row r="161" spans="1:15" s="164" customFormat="1" ht="46.5" customHeight="1">
      <c r="A161" s="548"/>
      <c r="B161" s="571" t="s">
        <v>791</v>
      </c>
      <c r="C161" s="549">
        <f>C160+C150+C138+C121+C130</f>
        <v>19</v>
      </c>
      <c r="D161" s="550">
        <f aca="true" t="shared" si="0" ref="D161:L161">D160+D150+D138+D121+D130</f>
        <v>8.638</v>
      </c>
      <c r="E161" s="549"/>
      <c r="F161" s="549"/>
      <c r="G161" s="549"/>
      <c r="H161" s="549">
        <f t="shared" si="0"/>
        <v>3948</v>
      </c>
      <c r="I161" s="549">
        <f t="shared" si="0"/>
        <v>174477</v>
      </c>
      <c r="J161" s="549"/>
      <c r="K161" s="549">
        <f t="shared" si="0"/>
        <v>22</v>
      </c>
      <c r="L161" s="549">
        <f t="shared" si="0"/>
        <v>29676</v>
      </c>
      <c r="M161" s="549"/>
      <c r="N161" s="549" t="s">
        <v>248</v>
      </c>
      <c r="O161" s="551"/>
    </row>
    <row r="162" spans="1:15" s="164" customFormat="1" ht="51.75" customHeight="1">
      <c r="A162" s="545"/>
      <c r="B162" s="546" t="s">
        <v>101</v>
      </c>
      <c r="C162" s="546"/>
      <c r="D162" s="553"/>
      <c r="E162" s="546"/>
      <c r="F162" s="546"/>
      <c r="G162" s="546"/>
      <c r="H162" s="546"/>
      <c r="I162" s="546"/>
      <c r="J162" s="546"/>
      <c r="K162" s="546"/>
      <c r="L162" s="546"/>
      <c r="M162" s="546"/>
      <c r="N162" s="546"/>
      <c r="O162" s="554"/>
    </row>
    <row r="163" spans="1:15" s="531" customFormat="1" ht="58.5" customHeight="1">
      <c r="A163" s="525">
        <v>1</v>
      </c>
      <c r="B163" s="526" t="s">
        <v>771</v>
      </c>
      <c r="C163" s="526" t="s">
        <v>769</v>
      </c>
      <c r="D163" s="527">
        <f>'сравнение затрат до и после Зах'!E164</f>
        <v>0.5</v>
      </c>
      <c r="E163" s="526" t="s">
        <v>520</v>
      </c>
      <c r="F163" s="526" t="s">
        <v>521</v>
      </c>
      <c r="G163" s="526"/>
      <c r="H163" s="526"/>
      <c r="I163" s="526"/>
      <c r="J163" s="526" t="s">
        <v>819</v>
      </c>
      <c r="K163" s="526"/>
      <c r="L163" s="526">
        <v>819</v>
      </c>
      <c r="M163" s="526" t="s">
        <v>110</v>
      </c>
      <c r="N163" s="533" t="s">
        <v>134</v>
      </c>
      <c r="O163" s="535" t="s">
        <v>132</v>
      </c>
    </row>
    <row r="164" spans="1:15" s="531" customFormat="1" ht="73.5" customHeight="1">
      <c r="A164" s="525">
        <v>2</v>
      </c>
      <c r="B164" s="526" t="s">
        <v>772</v>
      </c>
      <c r="C164" s="526" t="s">
        <v>769</v>
      </c>
      <c r="D164" s="527">
        <f>'сравнение затрат до и после Зах'!E165</f>
        <v>0.5</v>
      </c>
      <c r="E164" s="526" t="s">
        <v>520</v>
      </c>
      <c r="F164" s="526" t="s">
        <v>521</v>
      </c>
      <c r="G164" s="526"/>
      <c r="H164" s="526"/>
      <c r="I164" s="526"/>
      <c r="J164" s="526" t="s">
        <v>820</v>
      </c>
      <c r="K164" s="526"/>
      <c r="L164" s="526">
        <v>6099</v>
      </c>
      <c r="M164" s="526" t="s">
        <v>110</v>
      </c>
      <c r="N164" s="533" t="s">
        <v>133</v>
      </c>
      <c r="O164" s="535" t="s">
        <v>132</v>
      </c>
    </row>
    <row r="165" spans="1:15" s="164" customFormat="1" ht="42.75" customHeight="1">
      <c r="A165" s="548"/>
      <c r="B165" s="549" t="s">
        <v>770</v>
      </c>
      <c r="C165" s="549">
        <f>A164</f>
        <v>2</v>
      </c>
      <c r="D165" s="550">
        <f>SUM(D163:D164)</f>
        <v>1</v>
      </c>
      <c r="E165" s="549"/>
      <c r="F165" s="549"/>
      <c r="G165" s="549"/>
      <c r="H165" s="549">
        <v>0</v>
      </c>
      <c r="I165" s="549">
        <v>0</v>
      </c>
      <c r="J165" s="549"/>
      <c r="K165" s="549"/>
      <c r="L165" s="549">
        <f>SUM(L163:L164)</f>
        <v>6918</v>
      </c>
      <c r="M165" s="549"/>
      <c r="N165" s="549" t="s">
        <v>249</v>
      </c>
      <c r="O165" s="551"/>
    </row>
    <row r="166" spans="1:15" s="164" customFormat="1" ht="42" customHeight="1">
      <c r="A166" s="545"/>
      <c r="B166" s="546" t="s">
        <v>792</v>
      </c>
      <c r="C166" s="546"/>
      <c r="D166" s="553"/>
      <c r="E166" s="546"/>
      <c r="F166" s="546"/>
      <c r="G166" s="546"/>
      <c r="H166" s="546"/>
      <c r="I166" s="546"/>
      <c r="J166" s="546"/>
      <c r="K166" s="546"/>
      <c r="L166" s="546"/>
      <c r="M166" s="546"/>
      <c r="N166" s="546"/>
      <c r="O166" s="554"/>
    </row>
    <row r="167" spans="1:15" s="164" customFormat="1" ht="39.75" customHeight="1">
      <c r="A167" s="545"/>
      <c r="B167" s="546" t="s">
        <v>793</v>
      </c>
      <c r="C167" s="546"/>
      <c r="D167" s="553"/>
      <c r="E167" s="546"/>
      <c r="F167" s="546"/>
      <c r="G167" s="546"/>
      <c r="H167" s="546"/>
      <c r="I167" s="546"/>
      <c r="J167" s="546"/>
      <c r="K167" s="546"/>
      <c r="L167" s="546"/>
      <c r="M167" s="546"/>
      <c r="N167" s="546"/>
      <c r="O167" s="554"/>
    </row>
    <row r="168" spans="1:15" s="531" customFormat="1" ht="87.75" customHeight="1">
      <c r="A168" s="756">
        <v>1</v>
      </c>
      <c r="B168" s="533"/>
      <c r="C168" s="526" t="s">
        <v>734</v>
      </c>
      <c r="D168" s="527">
        <f>'сравнение затрат до и после Зах'!E169</f>
        <v>7.337662612374404</v>
      </c>
      <c r="E168" s="526" t="s">
        <v>520</v>
      </c>
      <c r="F168" s="526" t="s">
        <v>521</v>
      </c>
      <c r="G168" s="526" t="s">
        <v>376</v>
      </c>
      <c r="H168" s="526">
        <v>527</v>
      </c>
      <c r="I168" s="526">
        <v>26016.6</v>
      </c>
      <c r="J168" s="533"/>
      <c r="K168" s="533"/>
      <c r="L168" s="526"/>
      <c r="M168" s="526" t="s">
        <v>794</v>
      </c>
      <c r="N168" s="533" t="s">
        <v>135</v>
      </c>
      <c r="O168" s="535" t="s">
        <v>132</v>
      </c>
    </row>
    <row r="169" spans="1:15" s="531" customFormat="1" ht="44.25" customHeight="1">
      <c r="A169" s="757"/>
      <c r="B169" s="526"/>
      <c r="C169" s="526" t="s">
        <v>734</v>
      </c>
      <c r="D169" s="527">
        <f>'сравнение затрат до и после Зах'!E170</f>
        <v>0.401621716904636</v>
      </c>
      <c r="E169" s="526"/>
      <c r="F169" s="526"/>
      <c r="G169" s="526"/>
      <c r="H169" s="526"/>
      <c r="I169" s="526"/>
      <c r="J169" s="526" t="s">
        <v>821</v>
      </c>
      <c r="K169" s="526">
        <v>1</v>
      </c>
      <c r="L169" s="526">
        <v>1424</v>
      </c>
      <c r="M169" s="526"/>
      <c r="N169" s="533" t="s">
        <v>134</v>
      </c>
      <c r="O169" s="535" t="s">
        <v>132</v>
      </c>
    </row>
    <row r="170" spans="1:15" s="531" customFormat="1" ht="33.75" customHeight="1">
      <c r="A170" s="757"/>
      <c r="B170" s="526"/>
      <c r="C170" s="526" t="s">
        <v>734</v>
      </c>
      <c r="D170" s="527">
        <f>'сравнение затрат до и после Зах'!E171</f>
        <v>0.33900934249955933</v>
      </c>
      <c r="E170" s="526"/>
      <c r="F170" s="526"/>
      <c r="G170" s="526"/>
      <c r="H170" s="526"/>
      <c r="I170" s="526"/>
      <c r="J170" s="526" t="s">
        <v>822</v>
      </c>
      <c r="K170" s="526">
        <v>1</v>
      </c>
      <c r="L170" s="526">
        <v>1202</v>
      </c>
      <c r="M170" s="526"/>
      <c r="N170" s="533" t="s">
        <v>134</v>
      </c>
      <c r="O170" s="535" t="s">
        <v>132</v>
      </c>
    </row>
    <row r="171" spans="1:15" s="531" customFormat="1" ht="44.25" customHeight="1">
      <c r="A171" s="757"/>
      <c r="B171" s="526"/>
      <c r="C171" s="526" t="s">
        <v>734</v>
      </c>
      <c r="D171" s="527">
        <f>'сравнение затрат до и после Зах'!E172</f>
        <v>0.22873259298431164</v>
      </c>
      <c r="E171" s="526"/>
      <c r="F171" s="526"/>
      <c r="G171" s="526"/>
      <c r="H171" s="526"/>
      <c r="I171" s="526"/>
      <c r="J171" s="526" t="s">
        <v>823</v>
      </c>
      <c r="K171" s="526">
        <v>1</v>
      </c>
      <c r="L171" s="526">
        <v>811</v>
      </c>
      <c r="M171" s="526"/>
      <c r="N171" s="533" t="s">
        <v>134</v>
      </c>
      <c r="O171" s="535" t="s">
        <v>132</v>
      </c>
    </row>
    <row r="172" spans="1:15" s="531" customFormat="1" ht="51" customHeight="1">
      <c r="A172" s="757"/>
      <c r="B172" s="526"/>
      <c r="C172" s="526" t="s">
        <v>734</v>
      </c>
      <c r="D172" s="527">
        <f>'сравнение затрат до и после Зах'!E173</f>
        <v>0.11930195663670015</v>
      </c>
      <c r="E172" s="526"/>
      <c r="F172" s="526"/>
      <c r="G172" s="526"/>
      <c r="H172" s="526"/>
      <c r="I172" s="526"/>
      <c r="J172" s="526" t="s">
        <v>824</v>
      </c>
      <c r="K172" s="526">
        <v>1</v>
      </c>
      <c r="L172" s="526">
        <v>423</v>
      </c>
      <c r="M172" s="526"/>
      <c r="N172" s="533" t="s">
        <v>134</v>
      </c>
      <c r="O172" s="535" t="s">
        <v>132</v>
      </c>
    </row>
    <row r="173" spans="1:15" s="531" customFormat="1" ht="45" customHeight="1">
      <c r="A173" s="757"/>
      <c r="B173" s="526"/>
      <c r="C173" s="526" t="s">
        <v>734</v>
      </c>
      <c r="D173" s="527">
        <f>'сравнение затрат до и после Зах'!E174</f>
        <v>0.8046536224219989</v>
      </c>
      <c r="E173" s="526"/>
      <c r="F173" s="526"/>
      <c r="G173" s="526"/>
      <c r="H173" s="526"/>
      <c r="I173" s="526"/>
      <c r="J173" s="526" t="s">
        <v>825</v>
      </c>
      <c r="K173" s="526">
        <v>1</v>
      </c>
      <c r="L173" s="526">
        <v>2853</v>
      </c>
      <c r="M173" s="526"/>
      <c r="N173" s="533" t="s">
        <v>134</v>
      </c>
      <c r="O173" s="535" t="s">
        <v>132</v>
      </c>
    </row>
    <row r="174" spans="1:15" s="531" customFormat="1" ht="36.75" customHeight="1">
      <c r="A174" s="757"/>
      <c r="B174" s="526"/>
      <c r="C174" s="526" t="s">
        <v>734</v>
      </c>
      <c r="D174" s="527">
        <f>'сравнение затрат до и после Зах'!E175</f>
        <v>0.12043010752688171</v>
      </c>
      <c r="E174" s="526"/>
      <c r="F174" s="526"/>
      <c r="G174" s="526"/>
      <c r="H174" s="526"/>
      <c r="I174" s="526"/>
      <c r="J174" s="526" t="s">
        <v>795</v>
      </c>
      <c r="K174" s="526">
        <v>1</v>
      </c>
      <c r="L174" s="526">
        <v>427</v>
      </c>
      <c r="M174" s="526"/>
      <c r="N174" s="533" t="s">
        <v>133</v>
      </c>
      <c r="O174" s="535" t="s">
        <v>132</v>
      </c>
    </row>
    <row r="175" spans="1:15" s="531" customFormat="1" ht="42.75" customHeight="1">
      <c r="A175" s="757"/>
      <c r="B175" s="526"/>
      <c r="C175" s="526" t="s">
        <v>698</v>
      </c>
      <c r="D175" s="527">
        <f>'сравнение затрат до и после Зах'!E176</f>
        <v>0.028203772254539045</v>
      </c>
      <c r="E175" s="526"/>
      <c r="F175" s="526"/>
      <c r="G175" s="526"/>
      <c r="H175" s="526"/>
      <c r="I175" s="526"/>
      <c r="J175" s="526" t="s">
        <v>796</v>
      </c>
      <c r="K175" s="526">
        <v>1</v>
      </c>
      <c r="L175" s="526">
        <v>100</v>
      </c>
      <c r="M175" s="526"/>
      <c r="N175" s="533" t="s">
        <v>133</v>
      </c>
      <c r="O175" s="535" t="s">
        <v>132</v>
      </c>
    </row>
    <row r="176" spans="1:15" s="531" customFormat="1" ht="46.5" customHeight="1">
      <c r="A176" s="757"/>
      <c r="B176" s="526"/>
      <c r="C176" s="526" t="s">
        <v>734</v>
      </c>
      <c r="D176" s="527">
        <f>'сравнение затрат до и после Зах'!E177</f>
        <v>0.22027146130794995</v>
      </c>
      <c r="E176" s="526"/>
      <c r="F176" s="526"/>
      <c r="G176" s="526"/>
      <c r="H176" s="526"/>
      <c r="I176" s="526"/>
      <c r="J176" s="526" t="s">
        <v>826</v>
      </c>
      <c r="K176" s="526">
        <v>1</v>
      </c>
      <c r="L176" s="526">
        <v>781</v>
      </c>
      <c r="M176" s="526"/>
      <c r="N176" s="533" t="s">
        <v>134</v>
      </c>
      <c r="O176" s="535" t="s">
        <v>132</v>
      </c>
    </row>
    <row r="177" spans="1:15" s="531" customFormat="1" ht="136.5" customHeight="1">
      <c r="A177" s="756">
        <v>2</v>
      </c>
      <c r="B177" s="526"/>
      <c r="C177" s="739" t="s">
        <v>693</v>
      </c>
      <c r="D177" s="527">
        <f>'сравнение затрат до и после Зах'!E178</f>
        <v>7.236225897737858</v>
      </c>
      <c r="E177" s="526" t="s">
        <v>520</v>
      </c>
      <c r="F177" s="526" t="s">
        <v>521</v>
      </c>
      <c r="G177" s="534" t="s">
        <v>377</v>
      </c>
      <c r="H177" s="526">
        <v>1119</v>
      </c>
      <c r="I177" s="526">
        <v>50826</v>
      </c>
      <c r="J177" s="526"/>
      <c r="K177" s="526"/>
      <c r="L177" s="526"/>
      <c r="M177" s="526"/>
      <c r="N177" s="533" t="s">
        <v>134</v>
      </c>
      <c r="O177" s="535" t="s">
        <v>132</v>
      </c>
    </row>
    <row r="178" spans="1:15" s="531" customFormat="1" ht="35.25" customHeight="1">
      <c r="A178" s="757"/>
      <c r="B178" s="526"/>
      <c r="C178" s="739"/>
      <c r="D178" s="527">
        <f>'сравнение затрат до и после Зах'!E179</f>
        <v>0.5552528430562635</v>
      </c>
      <c r="E178" s="526"/>
      <c r="F178" s="526"/>
      <c r="G178" s="526"/>
      <c r="H178" s="526"/>
      <c r="I178" s="526"/>
      <c r="J178" s="526" t="s">
        <v>827</v>
      </c>
      <c r="K178" s="526">
        <v>1</v>
      </c>
      <c r="L178" s="526">
        <v>3900</v>
      </c>
      <c r="M178" s="526"/>
      <c r="N178" s="533" t="s">
        <v>134</v>
      </c>
      <c r="O178" s="535" t="s">
        <v>132</v>
      </c>
    </row>
    <row r="179" spans="1:15" s="531" customFormat="1" ht="39.75" customHeight="1">
      <c r="A179" s="757"/>
      <c r="B179" s="526"/>
      <c r="C179" s="739"/>
      <c r="D179" s="527">
        <f>'сравнение затрат до и после Зах'!E180</f>
        <v>0.21327404074314943</v>
      </c>
      <c r="E179" s="526"/>
      <c r="F179" s="526"/>
      <c r="G179" s="526"/>
      <c r="H179" s="526"/>
      <c r="I179" s="526"/>
      <c r="J179" s="534" t="s">
        <v>878</v>
      </c>
      <c r="K179" s="534">
        <v>1</v>
      </c>
      <c r="L179" s="526">
        <v>1498</v>
      </c>
      <c r="M179" s="526"/>
      <c r="N179" s="533" t="s">
        <v>134</v>
      </c>
      <c r="O179" s="535" t="s">
        <v>132</v>
      </c>
    </row>
    <row r="180" spans="1:15" s="531" customFormat="1" ht="43.5" customHeight="1">
      <c r="A180" s="757"/>
      <c r="B180" s="526"/>
      <c r="C180" s="739"/>
      <c r="D180" s="527">
        <f>'сравнение затрат до и после Зах'!E181</f>
        <v>0.09524721846272828</v>
      </c>
      <c r="E180" s="526"/>
      <c r="F180" s="526"/>
      <c r="G180" s="526"/>
      <c r="H180" s="526"/>
      <c r="I180" s="526"/>
      <c r="J180" s="526" t="s">
        <v>828</v>
      </c>
      <c r="K180" s="526">
        <v>1</v>
      </c>
      <c r="L180" s="526">
        <v>669</v>
      </c>
      <c r="M180" s="526"/>
      <c r="N180" s="533" t="s">
        <v>134</v>
      </c>
      <c r="O180" s="535" t="s">
        <v>132</v>
      </c>
    </row>
    <row r="181" spans="1:15" s="531" customFormat="1" ht="69.75" customHeight="1">
      <c r="A181" s="525">
        <v>3</v>
      </c>
      <c r="B181" s="526"/>
      <c r="C181" s="526" t="s">
        <v>797</v>
      </c>
      <c r="D181" s="527">
        <f>'сравнение затрат до и после Зах'!E182</f>
        <v>3.8</v>
      </c>
      <c r="E181" s="526" t="s">
        <v>798</v>
      </c>
      <c r="F181" s="526" t="s">
        <v>521</v>
      </c>
      <c r="G181" s="534" t="s">
        <v>378</v>
      </c>
      <c r="H181" s="526">
        <v>650</v>
      </c>
      <c r="I181" s="526">
        <v>27114</v>
      </c>
      <c r="J181" s="526"/>
      <c r="K181" s="526"/>
      <c r="L181" s="526"/>
      <c r="M181" s="533"/>
      <c r="N181" s="533" t="s">
        <v>134</v>
      </c>
      <c r="O181" s="535" t="s">
        <v>132</v>
      </c>
    </row>
    <row r="182" spans="1:15" s="164" customFormat="1" ht="63" customHeight="1">
      <c r="A182" s="555"/>
      <c r="B182" s="556" t="s">
        <v>799</v>
      </c>
      <c r="C182" s="556">
        <f>A181</f>
        <v>3</v>
      </c>
      <c r="D182" s="557">
        <f>SUM(D168:D181)</f>
        <v>21.49988718491098</v>
      </c>
      <c r="E182" s="556"/>
      <c r="F182" s="556"/>
      <c r="G182" s="556"/>
      <c r="H182" s="556">
        <f>SUM(H168:H181)</f>
        <v>2296</v>
      </c>
      <c r="I182" s="556">
        <f>I181+I177+I168</f>
        <v>103956.6</v>
      </c>
      <c r="J182" s="556"/>
      <c r="K182" s="556">
        <f>SUM(K167:K181)</f>
        <v>11</v>
      </c>
      <c r="L182" s="556">
        <f>SUM(L168:L181)</f>
        <v>14088</v>
      </c>
      <c r="M182" s="556"/>
      <c r="N182" s="556" t="s">
        <v>250</v>
      </c>
      <c r="O182" s="558"/>
    </row>
    <row r="183" spans="1:15" s="165" customFormat="1" ht="66.75" customHeight="1">
      <c r="A183" s="559"/>
      <c r="B183" s="552" t="s">
        <v>457</v>
      </c>
      <c r="C183" s="268"/>
      <c r="D183" s="266"/>
      <c r="E183" s="268"/>
      <c r="F183" s="268"/>
      <c r="G183" s="268"/>
      <c r="H183" s="268"/>
      <c r="I183" s="268"/>
      <c r="J183" s="268"/>
      <c r="K183" s="268"/>
      <c r="L183" s="268"/>
      <c r="M183" s="268"/>
      <c r="N183" s="268"/>
      <c r="O183" s="572"/>
    </row>
    <row r="184" spans="1:15" s="531" customFormat="1" ht="49.5" customHeight="1">
      <c r="A184" s="525">
        <v>1</v>
      </c>
      <c r="B184" s="533"/>
      <c r="C184" s="534" t="s">
        <v>689</v>
      </c>
      <c r="D184" s="527">
        <f>'сравнение затрат до и после Зах'!E185</f>
        <v>1.3</v>
      </c>
      <c r="E184" s="526" t="s">
        <v>520</v>
      </c>
      <c r="F184" s="526" t="s">
        <v>521</v>
      </c>
      <c r="G184" s="526"/>
      <c r="H184" s="526"/>
      <c r="I184" s="526"/>
      <c r="J184" s="526" t="s">
        <v>800</v>
      </c>
      <c r="K184" s="526">
        <v>1</v>
      </c>
      <c r="L184" s="526">
        <v>1425</v>
      </c>
      <c r="M184" s="526" t="s">
        <v>111</v>
      </c>
      <c r="N184" s="533" t="s">
        <v>134</v>
      </c>
      <c r="O184" s="535" t="s">
        <v>132</v>
      </c>
    </row>
    <row r="185" spans="1:15" s="531" customFormat="1" ht="47.25" customHeight="1">
      <c r="A185" s="525">
        <v>2</v>
      </c>
      <c r="B185" s="526"/>
      <c r="C185" s="534" t="s">
        <v>689</v>
      </c>
      <c r="D185" s="527">
        <f>'сравнение затрат до и после Зах'!E186</f>
        <v>0.92</v>
      </c>
      <c r="E185" s="526" t="s">
        <v>798</v>
      </c>
      <c r="F185" s="526" t="s">
        <v>521</v>
      </c>
      <c r="G185" s="526"/>
      <c r="H185" s="526"/>
      <c r="I185" s="526"/>
      <c r="J185" s="526" t="s">
        <v>829</v>
      </c>
      <c r="K185" s="526">
        <v>1</v>
      </c>
      <c r="L185" s="526">
        <v>2205</v>
      </c>
      <c r="M185" s="526"/>
      <c r="N185" s="533" t="s">
        <v>134</v>
      </c>
      <c r="O185" s="535" t="s">
        <v>132</v>
      </c>
    </row>
    <row r="186" spans="1:15" s="531" customFormat="1" ht="48" customHeight="1">
      <c r="A186" s="525">
        <v>3</v>
      </c>
      <c r="B186" s="526"/>
      <c r="C186" s="534" t="s">
        <v>72</v>
      </c>
      <c r="D186" s="527">
        <f>'сравнение затрат до и после Зах'!E187</f>
        <v>1.3</v>
      </c>
      <c r="E186" s="526" t="s">
        <v>798</v>
      </c>
      <c r="F186" s="526" t="s">
        <v>521</v>
      </c>
      <c r="G186" s="526"/>
      <c r="H186" s="526"/>
      <c r="I186" s="526"/>
      <c r="J186" s="526" t="s">
        <v>830</v>
      </c>
      <c r="K186" s="526">
        <v>1</v>
      </c>
      <c r="L186" s="526">
        <v>2381</v>
      </c>
      <c r="M186" s="526"/>
      <c r="N186" s="533" t="s">
        <v>134</v>
      </c>
      <c r="O186" s="535" t="s">
        <v>132</v>
      </c>
    </row>
    <row r="187" spans="1:15" s="531" customFormat="1" ht="48" customHeight="1">
      <c r="A187" s="525">
        <v>4</v>
      </c>
      <c r="B187" s="526"/>
      <c r="C187" s="534" t="s">
        <v>73</v>
      </c>
      <c r="D187" s="527">
        <f>'сравнение затрат до и после Зах'!E188</f>
        <v>2.1</v>
      </c>
      <c r="E187" s="526" t="s">
        <v>831</v>
      </c>
      <c r="F187" s="526" t="s">
        <v>521</v>
      </c>
      <c r="G187" s="526"/>
      <c r="H187" s="526"/>
      <c r="I187" s="526"/>
      <c r="J187" s="526" t="s">
        <v>832</v>
      </c>
      <c r="K187" s="526">
        <v>1</v>
      </c>
      <c r="L187" s="526">
        <v>2911</v>
      </c>
      <c r="M187" s="526"/>
      <c r="N187" s="533" t="s">
        <v>134</v>
      </c>
      <c r="O187" s="535" t="s">
        <v>132</v>
      </c>
    </row>
    <row r="188" spans="1:15" s="531" customFormat="1" ht="56.25" customHeight="1">
      <c r="A188" s="525">
        <v>5</v>
      </c>
      <c r="B188" s="526"/>
      <c r="C188" s="534" t="s">
        <v>435</v>
      </c>
      <c r="D188" s="527">
        <f>'сравнение затрат до и после Зах'!E189</f>
        <v>1.3</v>
      </c>
      <c r="E188" s="526" t="s">
        <v>798</v>
      </c>
      <c r="F188" s="526" t="s">
        <v>521</v>
      </c>
      <c r="G188" s="526"/>
      <c r="H188" s="526"/>
      <c r="I188" s="526"/>
      <c r="J188" s="534" t="s">
        <v>879</v>
      </c>
      <c r="K188" s="534">
        <v>1</v>
      </c>
      <c r="L188" s="526">
        <v>2364</v>
      </c>
      <c r="M188" s="526"/>
      <c r="N188" s="533" t="s">
        <v>134</v>
      </c>
      <c r="O188" s="535" t="s">
        <v>132</v>
      </c>
    </row>
    <row r="189" spans="1:15" s="531" customFormat="1" ht="47.25" customHeight="1">
      <c r="A189" s="525">
        <v>6</v>
      </c>
      <c r="B189" s="526"/>
      <c r="C189" s="526" t="s">
        <v>689</v>
      </c>
      <c r="D189" s="527">
        <f>'сравнение затрат до и после Зах'!E190</f>
        <v>1.3</v>
      </c>
      <c r="E189" s="526" t="s">
        <v>798</v>
      </c>
      <c r="F189" s="526" t="s">
        <v>521</v>
      </c>
      <c r="G189" s="533"/>
      <c r="H189" s="526"/>
      <c r="I189" s="526"/>
      <c r="J189" s="526" t="s">
        <v>833</v>
      </c>
      <c r="K189" s="526">
        <v>1</v>
      </c>
      <c r="L189" s="526">
        <v>436</v>
      </c>
      <c r="M189" s="526"/>
      <c r="N189" s="533" t="s">
        <v>134</v>
      </c>
      <c r="O189" s="535" t="s">
        <v>132</v>
      </c>
    </row>
    <row r="190" spans="1:15" s="531" customFormat="1" ht="54" customHeight="1">
      <c r="A190" s="525">
        <v>7</v>
      </c>
      <c r="B190" s="526"/>
      <c r="C190" s="526" t="s">
        <v>689</v>
      </c>
      <c r="D190" s="527">
        <f>'сравнение затрат до и после Зах'!E191</f>
        <v>0.65</v>
      </c>
      <c r="E190" s="526" t="s">
        <v>831</v>
      </c>
      <c r="F190" s="526" t="s">
        <v>521</v>
      </c>
      <c r="G190" s="526"/>
      <c r="H190" s="526"/>
      <c r="I190" s="526"/>
      <c r="J190" s="526" t="s">
        <v>834</v>
      </c>
      <c r="K190" s="526">
        <v>1</v>
      </c>
      <c r="L190" s="526">
        <v>456</v>
      </c>
      <c r="M190" s="526"/>
      <c r="N190" s="533" t="s">
        <v>134</v>
      </c>
      <c r="O190" s="535" t="s">
        <v>132</v>
      </c>
    </row>
    <row r="191" spans="1:15" s="531" customFormat="1" ht="51.75" customHeight="1">
      <c r="A191" s="525">
        <v>8</v>
      </c>
      <c r="B191" s="526"/>
      <c r="C191" s="526" t="s">
        <v>689</v>
      </c>
      <c r="D191" s="527">
        <f>'сравнение затрат до и после Зах'!E192</f>
        <v>1.3</v>
      </c>
      <c r="E191" s="526" t="s">
        <v>798</v>
      </c>
      <c r="F191" s="526" t="s">
        <v>521</v>
      </c>
      <c r="G191" s="526"/>
      <c r="H191" s="526"/>
      <c r="I191" s="526"/>
      <c r="J191" s="526" t="s">
        <v>835</v>
      </c>
      <c r="K191" s="526">
        <v>1</v>
      </c>
      <c r="L191" s="526">
        <v>756</v>
      </c>
      <c r="M191" s="526" t="s">
        <v>794</v>
      </c>
      <c r="N191" s="533" t="s">
        <v>134</v>
      </c>
      <c r="O191" s="535" t="s">
        <v>132</v>
      </c>
    </row>
    <row r="192" spans="1:15" s="531" customFormat="1" ht="160.5" customHeight="1">
      <c r="A192" s="756">
        <v>9</v>
      </c>
      <c r="B192" s="526"/>
      <c r="C192" s="526" t="s">
        <v>128</v>
      </c>
      <c r="D192" s="527">
        <f>'сравнение затрат до и после Зах'!E193</f>
        <v>15</v>
      </c>
      <c r="E192" s="526" t="s">
        <v>798</v>
      </c>
      <c r="F192" s="526" t="s">
        <v>521</v>
      </c>
      <c r="G192" s="526" t="s">
        <v>379</v>
      </c>
      <c r="H192" s="526">
        <v>3493</v>
      </c>
      <c r="I192" s="534">
        <v>149906</v>
      </c>
      <c r="J192" s="526"/>
      <c r="K192" s="526"/>
      <c r="L192" s="526"/>
      <c r="M192" s="526" t="s">
        <v>836</v>
      </c>
      <c r="N192" s="533" t="s">
        <v>133</v>
      </c>
      <c r="O192" s="535" t="s">
        <v>132</v>
      </c>
    </row>
    <row r="193" spans="1:15" s="531" customFormat="1" ht="82.5" customHeight="1">
      <c r="A193" s="757"/>
      <c r="B193" s="526"/>
      <c r="C193" s="526" t="s">
        <v>734</v>
      </c>
      <c r="D193" s="527">
        <f>'сравнение затрат до и после Зах'!E194</f>
        <v>2.6369454322664856</v>
      </c>
      <c r="E193" s="526" t="s">
        <v>798</v>
      </c>
      <c r="F193" s="526" t="s">
        <v>851</v>
      </c>
      <c r="G193" s="526"/>
      <c r="H193" s="526"/>
      <c r="I193" s="542"/>
      <c r="J193" s="526" t="s">
        <v>853</v>
      </c>
      <c r="K193" s="526">
        <v>1</v>
      </c>
      <c r="L193" s="526">
        <v>56567</v>
      </c>
      <c r="M193" s="526" t="s">
        <v>852</v>
      </c>
      <c r="N193" s="533" t="s">
        <v>133</v>
      </c>
      <c r="O193" s="535" t="s">
        <v>132</v>
      </c>
    </row>
    <row r="194" spans="1:15" s="531" customFormat="1" ht="48" customHeight="1">
      <c r="A194" s="757"/>
      <c r="B194" s="526"/>
      <c r="C194" s="526"/>
      <c r="D194" s="527">
        <f>'сравнение затрат до и после Зах'!E195</f>
        <v>0.05458771193777387</v>
      </c>
      <c r="E194" s="526"/>
      <c r="F194" s="526"/>
      <c r="G194" s="526"/>
      <c r="H194" s="526"/>
      <c r="I194" s="542"/>
      <c r="J194" s="526" t="s">
        <v>880</v>
      </c>
      <c r="K194" s="526">
        <v>1</v>
      </c>
      <c r="L194" s="526">
        <v>1171</v>
      </c>
      <c r="M194" s="526"/>
      <c r="N194" s="533" t="s">
        <v>133</v>
      </c>
      <c r="O194" s="535" t="s">
        <v>132</v>
      </c>
    </row>
    <row r="195" spans="1:15" s="531" customFormat="1" ht="52.5" customHeight="1">
      <c r="A195" s="757"/>
      <c r="B195" s="526"/>
      <c r="C195" s="526"/>
      <c r="D195" s="527">
        <f>'сравнение затрат до и после Зах'!E196</f>
        <v>0.16851800055939584</v>
      </c>
      <c r="E195" s="526"/>
      <c r="F195" s="526"/>
      <c r="G195" s="526"/>
      <c r="H195" s="526"/>
      <c r="I195" s="542"/>
      <c r="J195" s="526" t="s">
        <v>881</v>
      </c>
      <c r="K195" s="526">
        <v>1</v>
      </c>
      <c r="L195" s="526">
        <v>3615</v>
      </c>
      <c r="M195" s="526"/>
      <c r="N195" s="533" t="s">
        <v>133</v>
      </c>
      <c r="O195" s="535" t="s">
        <v>132</v>
      </c>
    </row>
    <row r="196" spans="1:15" s="531" customFormat="1" ht="42" customHeight="1">
      <c r="A196" s="757"/>
      <c r="B196" s="526"/>
      <c r="C196" s="526"/>
      <c r="D196" s="527">
        <f>'сравнение затрат до и после Зах'!E197</f>
        <v>0.030860004528442616</v>
      </c>
      <c r="E196" s="526"/>
      <c r="F196" s="526"/>
      <c r="G196" s="526"/>
      <c r="H196" s="526"/>
      <c r="I196" s="542"/>
      <c r="J196" s="526" t="s">
        <v>882</v>
      </c>
      <c r="K196" s="526">
        <v>1</v>
      </c>
      <c r="L196" s="526">
        <v>662</v>
      </c>
      <c r="M196" s="526"/>
      <c r="N196" s="533" t="s">
        <v>133</v>
      </c>
      <c r="O196" s="535" t="s">
        <v>132</v>
      </c>
    </row>
    <row r="197" spans="1:15" s="531" customFormat="1" ht="48" customHeight="1">
      <c r="A197" s="757"/>
      <c r="B197" s="526"/>
      <c r="C197" s="526"/>
      <c r="D197" s="527">
        <f>'сравнение затрат до и после Зах'!E198</f>
        <v>0.050159161438979236</v>
      </c>
      <c r="E197" s="526"/>
      <c r="F197" s="526"/>
      <c r="G197" s="526"/>
      <c r="H197" s="526"/>
      <c r="I197" s="542"/>
      <c r="J197" s="526" t="s">
        <v>883</v>
      </c>
      <c r="K197" s="526">
        <v>1</v>
      </c>
      <c r="L197" s="526">
        <v>1076</v>
      </c>
      <c r="M197" s="526"/>
      <c r="N197" s="533" t="s">
        <v>133</v>
      </c>
      <c r="O197" s="535" t="s">
        <v>132</v>
      </c>
    </row>
    <row r="198" spans="1:15" s="531" customFormat="1" ht="64.5" customHeight="1">
      <c r="A198" s="757"/>
      <c r="B198" s="526"/>
      <c r="C198" s="526"/>
      <c r="D198" s="527">
        <f>'сравнение затрат до и после Зах'!E199</f>
        <v>0.05211704692265686</v>
      </c>
      <c r="E198" s="526"/>
      <c r="F198" s="526"/>
      <c r="G198" s="526"/>
      <c r="H198" s="526"/>
      <c r="I198" s="542"/>
      <c r="J198" s="526" t="s">
        <v>884</v>
      </c>
      <c r="K198" s="526">
        <v>1</v>
      </c>
      <c r="L198" s="526">
        <v>1118</v>
      </c>
      <c r="M198" s="526"/>
      <c r="N198" s="533" t="s">
        <v>133</v>
      </c>
      <c r="O198" s="535" t="s">
        <v>132</v>
      </c>
    </row>
    <row r="199" spans="1:15" s="531" customFormat="1" ht="48" customHeight="1">
      <c r="A199" s="757"/>
      <c r="B199" s="526"/>
      <c r="C199" s="526"/>
      <c r="D199" s="527">
        <f>'сравнение затрат до и после Зах'!E200</f>
        <v>0.02950813121828425</v>
      </c>
      <c r="E199" s="526"/>
      <c r="F199" s="526"/>
      <c r="G199" s="526"/>
      <c r="H199" s="526"/>
      <c r="I199" s="542"/>
      <c r="J199" s="526" t="s">
        <v>0</v>
      </c>
      <c r="K199" s="526">
        <v>1</v>
      </c>
      <c r="L199" s="526">
        <v>633</v>
      </c>
      <c r="M199" s="526"/>
      <c r="N199" s="533" t="s">
        <v>133</v>
      </c>
      <c r="O199" s="535" t="s">
        <v>132</v>
      </c>
    </row>
    <row r="200" spans="1:15" s="531" customFormat="1" ht="52.5" customHeight="1">
      <c r="A200" s="757"/>
      <c r="B200" s="526"/>
      <c r="C200" s="526"/>
      <c r="D200" s="527">
        <f>'сравнение затрат до и после Зах'!E201</f>
        <v>0.041721607330749456</v>
      </c>
      <c r="E200" s="526"/>
      <c r="F200" s="526"/>
      <c r="G200" s="526"/>
      <c r="H200" s="526"/>
      <c r="I200" s="542"/>
      <c r="J200" s="526" t="s">
        <v>1</v>
      </c>
      <c r="K200" s="526">
        <v>1</v>
      </c>
      <c r="L200" s="526">
        <v>895</v>
      </c>
      <c r="M200" s="526"/>
      <c r="N200" s="533" t="s">
        <v>133</v>
      </c>
      <c r="O200" s="535" t="s">
        <v>132</v>
      </c>
    </row>
    <row r="201" spans="1:15" s="531" customFormat="1" ht="40.5" customHeight="1">
      <c r="A201" s="757"/>
      <c r="B201" s="526"/>
      <c r="C201" s="526"/>
      <c r="D201" s="527">
        <f>'сравнение затрат до и после Зах'!E202</f>
        <v>0.0806462353991023</v>
      </c>
      <c r="E201" s="526"/>
      <c r="F201" s="526"/>
      <c r="G201" s="526"/>
      <c r="H201" s="526"/>
      <c r="I201" s="542"/>
      <c r="J201" s="526" t="s">
        <v>2</v>
      </c>
      <c r="K201" s="526">
        <v>1</v>
      </c>
      <c r="L201" s="526">
        <v>1730</v>
      </c>
      <c r="M201" s="526"/>
      <c r="N201" s="533" t="s">
        <v>133</v>
      </c>
      <c r="O201" s="535" t="s">
        <v>132</v>
      </c>
    </row>
    <row r="202" spans="1:15" s="531" customFormat="1" ht="52.5" customHeight="1">
      <c r="A202" s="757"/>
      <c r="B202" s="526"/>
      <c r="C202" s="526"/>
      <c r="D202" s="527">
        <f>'сравнение затрат до и после Зах'!E203</f>
        <v>0.035195322385157365</v>
      </c>
      <c r="E202" s="526"/>
      <c r="F202" s="526"/>
      <c r="G202" s="526"/>
      <c r="H202" s="526"/>
      <c r="I202" s="542"/>
      <c r="J202" s="526" t="s">
        <v>3</v>
      </c>
      <c r="K202" s="526">
        <v>1</v>
      </c>
      <c r="L202" s="526">
        <v>755</v>
      </c>
      <c r="M202" s="526"/>
      <c r="N202" s="533" t="s">
        <v>133</v>
      </c>
      <c r="O202" s="535" t="s">
        <v>132</v>
      </c>
    </row>
    <row r="203" spans="1:15" s="531" customFormat="1" ht="39" customHeight="1">
      <c r="A203" s="757"/>
      <c r="B203" s="526"/>
      <c r="C203" s="526"/>
      <c r="D203" s="527">
        <f>'сравнение затрат до и после Зах'!E204</f>
        <v>0.1011108003356375</v>
      </c>
      <c r="E203" s="526"/>
      <c r="F203" s="526"/>
      <c r="G203" s="526"/>
      <c r="H203" s="526"/>
      <c r="I203" s="542"/>
      <c r="J203" s="526" t="s">
        <v>4</v>
      </c>
      <c r="K203" s="526">
        <v>1</v>
      </c>
      <c r="L203" s="526">
        <v>2169</v>
      </c>
      <c r="M203" s="526"/>
      <c r="N203" s="533" t="s">
        <v>134</v>
      </c>
      <c r="O203" s="535" t="s">
        <v>132</v>
      </c>
    </row>
    <row r="204" spans="1:15" s="531" customFormat="1" ht="37.5" customHeight="1">
      <c r="A204" s="757"/>
      <c r="B204" s="526"/>
      <c r="C204" s="526"/>
      <c r="D204" s="527">
        <f>'сравнение затрат до и после Зах'!E205</f>
        <v>0.009463113171108536</v>
      </c>
      <c r="E204" s="526"/>
      <c r="F204" s="526"/>
      <c r="G204" s="526"/>
      <c r="H204" s="526"/>
      <c r="I204" s="542"/>
      <c r="J204" s="526" t="s">
        <v>5</v>
      </c>
      <c r="K204" s="526">
        <v>1</v>
      </c>
      <c r="L204" s="526">
        <v>203</v>
      </c>
      <c r="M204" s="526"/>
      <c r="N204" s="533" t="s">
        <v>133</v>
      </c>
      <c r="O204" s="535" t="s">
        <v>132</v>
      </c>
    </row>
    <row r="205" spans="1:15" s="531" customFormat="1" ht="42" customHeight="1">
      <c r="A205" s="757"/>
      <c r="B205" s="526"/>
      <c r="C205" s="526"/>
      <c r="D205" s="527">
        <f>'сравнение затрат до и после Зах'!E206</f>
        <v>0.07146282015423343</v>
      </c>
      <c r="E205" s="526"/>
      <c r="F205" s="526"/>
      <c r="G205" s="526"/>
      <c r="H205" s="526"/>
      <c r="I205" s="542"/>
      <c r="J205" s="526" t="s">
        <v>6</v>
      </c>
      <c r="K205" s="526">
        <v>1</v>
      </c>
      <c r="L205" s="526">
        <v>1533</v>
      </c>
      <c r="M205" s="526"/>
      <c r="N205" s="533" t="s">
        <v>134</v>
      </c>
      <c r="O205" s="535" t="s">
        <v>132</v>
      </c>
    </row>
    <row r="206" spans="1:15" s="531" customFormat="1" ht="48" customHeight="1">
      <c r="A206" s="757"/>
      <c r="B206" s="526"/>
      <c r="C206" s="526"/>
      <c r="D206" s="527">
        <f>'сравнение затрат до и после Зах'!E207</f>
        <v>0.032351726801720805</v>
      </c>
      <c r="E206" s="526"/>
      <c r="F206" s="526"/>
      <c r="G206" s="526"/>
      <c r="H206" s="526"/>
      <c r="I206" s="542"/>
      <c r="J206" s="526" t="s">
        <v>7</v>
      </c>
      <c r="K206" s="526">
        <v>1</v>
      </c>
      <c r="L206" s="526">
        <v>694</v>
      </c>
      <c r="M206" s="526"/>
      <c r="N206" s="533" t="s">
        <v>134</v>
      </c>
      <c r="O206" s="535" t="s">
        <v>132</v>
      </c>
    </row>
    <row r="207" spans="1:15" s="531" customFormat="1" ht="49.5" customHeight="1">
      <c r="A207" s="757"/>
      <c r="B207" s="526"/>
      <c r="C207" s="526"/>
      <c r="D207" s="527">
        <f>'сравнение затрат до и после Зах'!E208</f>
        <v>0.04549752933498488</v>
      </c>
      <c r="E207" s="526"/>
      <c r="F207" s="526"/>
      <c r="G207" s="526"/>
      <c r="H207" s="526"/>
      <c r="I207" s="542"/>
      <c r="J207" s="526" t="s">
        <v>8</v>
      </c>
      <c r="K207" s="526">
        <v>1</v>
      </c>
      <c r="L207" s="526">
        <v>976</v>
      </c>
      <c r="M207" s="526"/>
      <c r="N207" s="533" t="s">
        <v>134</v>
      </c>
      <c r="O207" s="535" t="s">
        <v>132</v>
      </c>
    </row>
    <row r="208" spans="1:15" s="531" customFormat="1" ht="49.5" customHeight="1">
      <c r="A208" s="757"/>
      <c r="B208" s="526"/>
      <c r="C208" s="526"/>
      <c r="D208" s="527">
        <f>'сравнение затрат до и после Зах'!E209</f>
        <v>0.018879610021177128</v>
      </c>
      <c r="E208" s="526"/>
      <c r="F208" s="526"/>
      <c r="G208" s="526"/>
      <c r="H208" s="526"/>
      <c r="I208" s="542"/>
      <c r="J208" s="526" t="s">
        <v>9</v>
      </c>
      <c r="K208" s="526">
        <v>1</v>
      </c>
      <c r="L208" s="526">
        <v>405</v>
      </c>
      <c r="M208" s="526"/>
      <c r="N208" s="533" t="s">
        <v>133</v>
      </c>
      <c r="O208" s="535" t="s">
        <v>132</v>
      </c>
    </row>
    <row r="209" spans="1:15" s="531" customFormat="1" ht="54" customHeight="1">
      <c r="A209" s="757"/>
      <c r="B209" s="526"/>
      <c r="C209" s="526"/>
      <c r="D209" s="527">
        <f>'сравнение затрат до и после Зах'!E210</f>
        <v>0.018460063131817635</v>
      </c>
      <c r="E209" s="526"/>
      <c r="F209" s="526"/>
      <c r="G209" s="526"/>
      <c r="H209" s="526"/>
      <c r="I209" s="542"/>
      <c r="J209" s="526" t="s">
        <v>10</v>
      </c>
      <c r="K209" s="526">
        <v>1</v>
      </c>
      <c r="L209" s="526">
        <v>396</v>
      </c>
      <c r="M209" s="526"/>
      <c r="N209" s="533" t="s">
        <v>133</v>
      </c>
      <c r="O209" s="535" t="s">
        <v>132</v>
      </c>
    </row>
    <row r="210" spans="1:15" s="531" customFormat="1" ht="43.5" customHeight="1">
      <c r="A210" s="757"/>
      <c r="B210" s="526"/>
      <c r="C210" s="526"/>
      <c r="D210" s="527">
        <f>'сравнение затрат до и после Зах'!E211</f>
        <v>0.022515683062292725</v>
      </c>
      <c r="E210" s="526"/>
      <c r="F210" s="526"/>
      <c r="G210" s="526"/>
      <c r="H210" s="526"/>
      <c r="I210" s="542"/>
      <c r="J210" s="526" t="s">
        <v>11</v>
      </c>
      <c r="K210" s="526">
        <v>1</v>
      </c>
      <c r="L210" s="526">
        <v>483</v>
      </c>
      <c r="M210" s="526"/>
      <c r="N210" s="533" t="s">
        <v>133</v>
      </c>
      <c r="O210" s="535" t="s">
        <v>132</v>
      </c>
    </row>
    <row r="211" spans="1:15" s="531" customFormat="1" ht="97.5" customHeight="1">
      <c r="A211" s="525">
        <v>10</v>
      </c>
      <c r="B211" s="526"/>
      <c r="C211" s="526" t="s">
        <v>74</v>
      </c>
      <c r="D211" s="527">
        <f>'сравнение затрат до и после Зах'!E212</f>
        <v>6.874655385016391</v>
      </c>
      <c r="E211" s="526" t="s">
        <v>798</v>
      </c>
      <c r="F211" s="526" t="s">
        <v>521</v>
      </c>
      <c r="G211" s="526" t="s">
        <v>850</v>
      </c>
      <c r="H211" s="526">
        <v>1609</v>
      </c>
      <c r="I211" s="534">
        <v>68574</v>
      </c>
      <c r="J211" s="526"/>
      <c r="K211" s="526"/>
      <c r="L211" s="526"/>
      <c r="M211" s="526" t="s">
        <v>836</v>
      </c>
      <c r="N211" s="533" t="s">
        <v>134</v>
      </c>
      <c r="O211" s="535" t="s">
        <v>132</v>
      </c>
    </row>
    <row r="212" spans="1:15" s="531" customFormat="1" ht="48" customHeight="1">
      <c r="A212" s="756">
        <v>11</v>
      </c>
      <c r="B212" s="526"/>
      <c r="C212" s="526" t="s">
        <v>838</v>
      </c>
      <c r="D212" s="527">
        <f>'сравнение затрат до и после Зах'!E213</f>
        <v>0.0954395532787296</v>
      </c>
      <c r="E212" s="526"/>
      <c r="F212" s="526"/>
      <c r="G212" s="526"/>
      <c r="H212" s="526"/>
      <c r="I212" s="534"/>
      <c r="J212" s="526" t="s">
        <v>12</v>
      </c>
      <c r="K212" s="526">
        <v>1</v>
      </c>
      <c r="L212" s="526">
        <v>952</v>
      </c>
      <c r="M212" s="526"/>
      <c r="N212" s="533" t="s">
        <v>133</v>
      </c>
      <c r="O212" s="535" t="s">
        <v>132</v>
      </c>
    </row>
    <row r="213" spans="1:15" s="531" customFormat="1" ht="48" customHeight="1">
      <c r="A213" s="757"/>
      <c r="B213" s="526"/>
      <c r="C213" s="526"/>
      <c r="D213" s="527">
        <f>'сравнение затрат до и после Зах'!E214</f>
        <v>0.1001513799637089</v>
      </c>
      <c r="E213" s="526"/>
      <c r="F213" s="526"/>
      <c r="G213" s="526"/>
      <c r="H213" s="526"/>
      <c r="I213" s="534"/>
      <c r="J213" s="526" t="s">
        <v>13</v>
      </c>
      <c r="K213" s="526">
        <v>1</v>
      </c>
      <c r="L213" s="526">
        <v>999</v>
      </c>
      <c r="M213" s="526"/>
      <c r="N213" s="533" t="s">
        <v>133</v>
      </c>
      <c r="O213" s="535" t="s">
        <v>132</v>
      </c>
    </row>
    <row r="214" spans="1:15" s="531" customFormat="1" ht="48" customHeight="1">
      <c r="A214" s="757"/>
      <c r="B214" s="526"/>
      <c r="C214" s="526"/>
      <c r="D214" s="527">
        <f>'сравнение затрат до и после Зах'!E215</f>
        <v>0.12762032702082227</v>
      </c>
      <c r="E214" s="526"/>
      <c r="F214" s="526"/>
      <c r="G214" s="526"/>
      <c r="H214" s="526"/>
      <c r="I214" s="534"/>
      <c r="J214" s="526" t="s">
        <v>14</v>
      </c>
      <c r="K214" s="526">
        <v>1</v>
      </c>
      <c r="L214" s="526">
        <v>1273</v>
      </c>
      <c r="M214" s="526"/>
      <c r="N214" s="533" t="s">
        <v>133</v>
      </c>
      <c r="O214" s="535" t="s">
        <v>132</v>
      </c>
    </row>
    <row r="215" spans="1:15" s="531" customFormat="1" ht="48" customHeight="1">
      <c r="A215" s="757"/>
      <c r="B215" s="526"/>
      <c r="C215" s="526"/>
      <c r="D215" s="527">
        <f>'сравнение затрат до и после Зах'!E216</f>
        <v>0.4453177475463413</v>
      </c>
      <c r="E215" s="526"/>
      <c r="F215" s="526"/>
      <c r="G215" s="526"/>
      <c r="H215" s="526"/>
      <c r="I215" s="534"/>
      <c r="J215" s="526" t="s">
        <v>15</v>
      </c>
      <c r="K215" s="526">
        <v>1</v>
      </c>
      <c r="L215" s="526">
        <v>4442</v>
      </c>
      <c r="M215" s="526"/>
      <c r="N215" s="533" t="s">
        <v>133</v>
      </c>
      <c r="O215" s="535" t="s">
        <v>132</v>
      </c>
    </row>
    <row r="216" spans="1:15" s="531" customFormat="1" ht="48" customHeight="1">
      <c r="A216" s="757"/>
      <c r="B216" s="526"/>
      <c r="C216" s="526"/>
      <c r="D216" s="527">
        <f>'сравнение затрат до и после Зах'!E217</f>
        <v>0.3900790985373287</v>
      </c>
      <c r="E216" s="526"/>
      <c r="F216" s="526"/>
      <c r="G216" s="526"/>
      <c r="H216" s="526"/>
      <c r="I216" s="534"/>
      <c r="J216" s="534" t="s">
        <v>29</v>
      </c>
      <c r="K216" s="534">
        <v>1</v>
      </c>
      <c r="L216" s="526">
        <v>3891</v>
      </c>
      <c r="M216" s="526"/>
      <c r="N216" s="533" t="s">
        <v>133</v>
      </c>
      <c r="O216" s="535" t="s">
        <v>132</v>
      </c>
    </row>
    <row r="217" spans="1:15" s="531" customFormat="1" ht="34.5" customHeight="1">
      <c r="A217" s="757"/>
      <c r="B217" s="526"/>
      <c r="C217" s="526"/>
      <c r="D217" s="527">
        <f>'сравнение затрат до и после Зах'!E218</f>
        <v>0.5399552877723085</v>
      </c>
      <c r="E217" s="526"/>
      <c r="F217" s="526"/>
      <c r="G217" s="526"/>
      <c r="H217" s="526"/>
      <c r="I217" s="534"/>
      <c r="J217" s="534" t="s">
        <v>30</v>
      </c>
      <c r="K217" s="534">
        <v>1</v>
      </c>
      <c r="L217" s="534">
        <v>5386</v>
      </c>
      <c r="M217" s="526"/>
      <c r="N217" s="533" t="s">
        <v>134</v>
      </c>
      <c r="O217" s="535" t="s">
        <v>132</v>
      </c>
    </row>
    <row r="218" spans="1:15" s="531" customFormat="1" ht="39" customHeight="1">
      <c r="A218" s="757"/>
      <c r="B218" s="526"/>
      <c r="C218" s="526"/>
      <c r="D218" s="527">
        <f>'сравнение затрат до и после Зах'!E219</f>
        <v>0.39599394480145167</v>
      </c>
      <c r="E218" s="526"/>
      <c r="F218" s="526"/>
      <c r="G218" s="526"/>
      <c r="H218" s="526"/>
      <c r="I218" s="534"/>
      <c r="J218" s="526" t="s">
        <v>31</v>
      </c>
      <c r="K218" s="526">
        <v>1</v>
      </c>
      <c r="L218" s="526">
        <v>3950</v>
      </c>
      <c r="M218" s="526"/>
      <c r="N218" s="533" t="s">
        <v>134</v>
      </c>
      <c r="O218" s="535" t="s">
        <v>132</v>
      </c>
    </row>
    <row r="219" spans="1:15" s="531" customFormat="1" ht="48" customHeight="1">
      <c r="A219" s="757"/>
      <c r="B219" s="526"/>
      <c r="C219" s="526"/>
      <c r="D219" s="527">
        <f>'сравнение затрат до и после Зах'!E220</f>
        <v>0.188172312504386</v>
      </c>
      <c r="E219" s="526"/>
      <c r="F219" s="526"/>
      <c r="G219" s="526"/>
      <c r="H219" s="526"/>
      <c r="I219" s="534"/>
      <c r="J219" s="526" t="s">
        <v>16</v>
      </c>
      <c r="K219" s="526">
        <v>1</v>
      </c>
      <c r="L219" s="526">
        <v>1877</v>
      </c>
      <c r="M219" s="526"/>
      <c r="N219" s="533" t="s">
        <v>134</v>
      </c>
      <c r="O219" s="535" t="s">
        <v>132</v>
      </c>
    </row>
    <row r="220" spans="1:15" s="531" customFormat="1" ht="48" customHeight="1">
      <c r="A220" s="757"/>
      <c r="B220" s="526"/>
      <c r="C220" s="526"/>
      <c r="D220" s="527">
        <f>'сравнение затрат до и после Зах'!E221</f>
        <v>0.1304273727054908</v>
      </c>
      <c r="E220" s="526"/>
      <c r="F220" s="526"/>
      <c r="G220" s="526"/>
      <c r="H220" s="526"/>
      <c r="I220" s="534"/>
      <c r="J220" s="526" t="s">
        <v>17</v>
      </c>
      <c r="K220" s="526">
        <v>1</v>
      </c>
      <c r="L220" s="526">
        <v>1301</v>
      </c>
      <c r="M220" s="526"/>
      <c r="N220" s="533" t="s">
        <v>134</v>
      </c>
      <c r="O220" s="535" t="s">
        <v>132</v>
      </c>
    </row>
    <row r="221" spans="1:15" s="531" customFormat="1" ht="48" customHeight="1">
      <c r="A221" s="757"/>
      <c r="B221" s="526"/>
      <c r="C221" s="526"/>
      <c r="D221" s="527">
        <f>'сравнение затрат до и после Зах'!E222</f>
        <v>0.5034636938716177</v>
      </c>
      <c r="E221" s="526"/>
      <c r="F221" s="526"/>
      <c r="G221" s="526"/>
      <c r="H221" s="526"/>
      <c r="I221" s="534"/>
      <c r="J221" s="526" t="s">
        <v>18</v>
      </c>
      <c r="K221" s="526">
        <v>1</v>
      </c>
      <c r="L221" s="526">
        <v>5022</v>
      </c>
      <c r="M221" s="526"/>
      <c r="N221" s="533" t="s">
        <v>134</v>
      </c>
      <c r="O221" s="535" t="s">
        <v>132</v>
      </c>
    </row>
    <row r="222" spans="1:15" s="531" customFormat="1" ht="48" customHeight="1">
      <c r="A222" s="757"/>
      <c r="B222" s="526"/>
      <c r="C222" s="526"/>
      <c r="D222" s="527">
        <f>'сравнение затрат до и после Зах'!E223</f>
        <v>0.12431202317817723</v>
      </c>
      <c r="E222" s="526"/>
      <c r="F222" s="526"/>
      <c r="G222" s="526"/>
      <c r="H222" s="526"/>
      <c r="I222" s="534"/>
      <c r="J222" s="526" t="s">
        <v>19</v>
      </c>
      <c r="K222" s="526">
        <v>1</v>
      </c>
      <c r="L222" s="526">
        <v>1240</v>
      </c>
      <c r="M222" s="526"/>
      <c r="N222" s="533" t="s">
        <v>134</v>
      </c>
      <c r="O222" s="535" t="s">
        <v>132</v>
      </c>
    </row>
    <row r="223" spans="1:15" s="531" customFormat="1" ht="37.5" customHeight="1">
      <c r="A223" s="757"/>
      <c r="B223" s="526"/>
      <c r="C223" s="526"/>
      <c r="D223" s="527">
        <f>'сравнение затрат до и после Зах'!E224</f>
        <v>0.08441187380324615</v>
      </c>
      <c r="E223" s="526"/>
      <c r="F223" s="526"/>
      <c r="G223" s="526"/>
      <c r="H223" s="526"/>
      <c r="I223" s="534"/>
      <c r="J223" s="526" t="s">
        <v>32</v>
      </c>
      <c r="K223" s="526">
        <v>1</v>
      </c>
      <c r="L223" s="526">
        <v>842</v>
      </c>
      <c r="M223" s="526"/>
      <c r="N223" s="533" t="s">
        <v>134</v>
      </c>
      <c r="O223" s="535" t="s">
        <v>132</v>
      </c>
    </row>
    <row r="224" spans="1:15" s="531" customFormat="1" ht="117.75" customHeight="1">
      <c r="A224" s="756">
        <v>12</v>
      </c>
      <c r="B224" s="526"/>
      <c r="C224" s="526" t="s">
        <v>75</v>
      </c>
      <c r="D224" s="527">
        <f>'сравнение затрат до и после Зах'!E225</f>
        <v>29.780012485187857</v>
      </c>
      <c r="E224" s="526" t="s">
        <v>831</v>
      </c>
      <c r="F224" s="526" t="s">
        <v>521</v>
      </c>
      <c r="G224" s="526" t="s">
        <v>380</v>
      </c>
      <c r="H224" s="534">
        <v>5230</v>
      </c>
      <c r="I224" s="534">
        <v>228927</v>
      </c>
      <c r="J224" s="526"/>
      <c r="K224" s="526"/>
      <c r="L224" s="526"/>
      <c r="M224" s="526" t="s">
        <v>836</v>
      </c>
      <c r="N224" s="533" t="s">
        <v>134</v>
      </c>
      <c r="O224" s="535" t="s">
        <v>132</v>
      </c>
    </row>
    <row r="225" spans="1:15" s="531" customFormat="1" ht="50.25" customHeight="1">
      <c r="A225" s="757"/>
      <c r="B225" s="526"/>
      <c r="C225" s="526"/>
      <c r="D225" s="527">
        <f>'сравнение затрат до и после Зах'!E226</f>
        <v>0.03941581282684838</v>
      </c>
      <c r="E225" s="526"/>
      <c r="F225" s="526"/>
      <c r="G225" s="526"/>
      <c r="H225" s="542"/>
      <c r="I225" s="534"/>
      <c r="J225" s="534" t="s">
        <v>33</v>
      </c>
      <c r="K225" s="534">
        <v>1</v>
      </c>
      <c r="L225" s="534">
        <v>303</v>
      </c>
      <c r="M225" s="526"/>
      <c r="N225" s="533" t="s">
        <v>133</v>
      </c>
      <c r="O225" s="535" t="s">
        <v>132</v>
      </c>
    </row>
    <row r="226" spans="1:15" s="531" customFormat="1" ht="50.25" customHeight="1">
      <c r="A226" s="757"/>
      <c r="B226" s="526"/>
      <c r="C226" s="526"/>
      <c r="D226" s="527">
        <f>'сравнение затрат до и после Зах'!E227</f>
        <v>0.15584205863552597</v>
      </c>
      <c r="E226" s="526"/>
      <c r="F226" s="526"/>
      <c r="G226" s="526"/>
      <c r="H226" s="542"/>
      <c r="I226" s="534"/>
      <c r="J226" s="534" t="s">
        <v>34</v>
      </c>
      <c r="K226" s="534">
        <v>1</v>
      </c>
      <c r="L226" s="534">
        <v>1198</v>
      </c>
      <c r="M226" s="526"/>
      <c r="N226" s="533" t="s">
        <v>134</v>
      </c>
      <c r="O226" s="535" t="s">
        <v>132</v>
      </c>
    </row>
    <row r="227" spans="1:15" s="531" customFormat="1" ht="50.25" customHeight="1">
      <c r="A227" s="757"/>
      <c r="B227" s="526"/>
      <c r="C227" s="526"/>
      <c r="D227" s="527">
        <f>'сравнение затрат до и после Зах'!E228</f>
        <v>0.19603838260746045</v>
      </c>
      <c r="E227" s="526"/>
      <c r="F227" s="526"/>
      <c r="G227" s="526"/>
      <c r="H227" s="542"/>
      <c r="I227" s="534"/>
      <c r="J227" s="534" t="s">
        <v>37</v>
      </c>
      <c r="K227" s="534">
        <v>1</v>
      </c>
      <c r="L227" s="534">
        <v>1507</v>
      </c>
      <c r="M227" s="526"/>
      <c r="N227" s="533" t="s">
        <v>133</v>
      </c>
      <c r="O227" s="535" t="s">
        <v>132</v>
      </c>
    </row>
    <row r="228" spans="1:15" s="531" customFormat="1" ht="47.25" customHeight="1">
      <c r="A228" s="757"/>
      <c r="B228" s="526"/>
      <c r="C228" s="526"/>
      <c r="D228" s="527">
        <f>'сравнение затрат до и после Зах'!E229</f>
        <v>0.1453051581768635</v>
      </c>
      <c r="E228" s="526"/>
      <c r="F228" s="526"/>
      <c r="G228" s="526"/>
      <c r="H228" s="542"/>
      <c r="I228" s="534"/>
      <c r="J228" s="534" t="s">
        <v>38</v>
      </c>
      <c r="K228" s="534">
        <v>1</v>
      </c>
      <c r="L228" s="534">
        <v>1117</v>
      </c>
      <c r="M228" s="526"/>
      <c r="N228" s="533" t="s">
        <v>134</v>
      </c>
      <c r="O228" s="535" t="s">
        <v>132</v>
      </c>
    </row>
    <row r="229" spans="1:15" s="531" customFormat="1" ht="62.25" customHeight="1">
      <c r="A229" s="757"/>
      <c r="B229" s="526"/>
      <c r="C229" s="526"/>
      <c r="D229" s="527">
        <f>'сравнение затрат до и после Зах'!E230</f>
        <v>0.33822149620397957</v>
      </c>
      <c r="E229" s="526"/>
      <c r="F229" s="526"/>
      <c r="G229" s="526"/>
      <c r="H229" s="542"/>
      <c r="I229" s="534"/>
      <c r="J229" s="534" t="s">
        <v>39</v>
      </c>
      <c r="K229" s="534">
        <v>1</v>
      </c>
      <c r="L229" s="534">
        <v>2600</v>
      </c>
      <c r="M229" s="526"/>
      <c r="N229" s="533" t="s">
        <v>134</v>
      </c>
      <c r="O229" s="535" t="s">
        <v>132</v>
      </c>
    </row>
    <row r="230" spans="1:15" s="531" customFormat="1" ht="44.25" customHeight="1">
      <c r="A230" s="757"/>
      <c r="B230" s="526"/>
      <c r="C230" s="526"/>
      <c r="D230" s="527">
        <f>'сравнение затрат до и после Зах'!E231</f>
        <v>0.7636000702759077</v>
      </c>
      <c r="E230" s="526"/>
      <c r="F230" s="526"/>
      <c r="G230" s="526"/>
      <c r="H230" s="542"/>
      <c r="I230" s="534"/>
      <c r="J230" s="534" t="s">
        <v>36</v>
      </c>
      <c r="K230" s="534">
        <v>1</v>
      </c>
      <c r="L230" s="534">
        <v>5870</v>
      </c>
      <c r="M230" s="526"/>
      <c r="N230" s="533" t="s">
        <v>134</v>
      </c>
      <c r="O230" s="535" t="s">
        <v>132</v>
      </c>
    </row>
    <row r="231" spans="1:15" s="531" customFormat="1" ht="44.25" customHeight="1">
      <c r="A231" s="757"/>
      <c r="B231" s="526"/>
      <c r="C231" s="526"/>
      <c r="D231" s="527">
        <f>'сравнение затрат до и после Зах'!E232</f>
        <v>0.30140738719408483</v>
      </c>
      <c r="E231" s="526"/>
      <c r="F231" s="526"/>
      <c r="G231" s="526"/>
      <c r="H231" s="542"/>
      <c r="I231" s="534"/>
      <c r="J231" s="534" t="s">
        <v>20</v>
      </c>
      <c r="K231" s="534">
        <v>1</v>
      </c>
      <c r="L231" s="534">
        <v>2317</v>
      </c>
      <c r="M231" s="526"/>
      <c r="N231" s="533" t="s">
        <v>133</v>
      </c>
      <c r="O231" s="535" t="s">
        <v>132</v>
      </c>
    </row>
    <row r="232" spans="1:15" s="531" customFormat="1" ht="44.25" customHeight="1">
      <c r="A232" s="757"/>
      <c r="B232" s="526"/>
      <c r="C232" s="526"/>
      <c r="D232" s="527">
        <f>'сравнение затрат до и после Зах'!E233</f>
        <v>0.30140738719408483</v>
      </c>
      <c r="E232" s="526"/>
      <c r="F232" s="526"/>
      <c r="G232" s="526"/>
      <c r="H232" s="542"/>
      <c r="I232" s="534"/>
      <c r="J232" s="534" t="s">
        <v>21</v>
      </c>
      <c r="K232" s="534">
        <v>1</v>
      </c>
      <c r="L232" s="534">
        <v>2317</v>
      </c>
      <c r="M232" s="526"/>
      <c r="N232" s="533" t="s">
        <v>133</v>
      </c>
      <c r="O232" s="535" t="s">
        <v>132</v>
      </c>
    </row>
    <row r="233" spans="1:15" s="531" customFormat="1" ht="35.25" customHeight="1">
      <c r="A233" s="757"/>
      <c r="B233" s="526"/>
      <c r="C233" s="526"/>
      <c r="D233" s="527">
        <f>'сравнение затрат до и после Зах'!E234</f>
        <v>0.3629376824650396</v>
      </c>
      <c r="E233" s="526"/>
      <c r="F233" s="526"/>
      <c r="G233" s="526"/>
      <c r="H233" s="542"/>
      <c r="I233" s="534"/>
      <c r="J233" s="534" t="s">
        <v>22</v>
      </c>
      <c r="K233" s="534">
        <v>1</v>
      </c>
      <c r="L233" s="534">
        <v>2790</v>
      </c>
      <c r="M233" s="526"/>
      <c r="N233" s="533" t="s">
        <v>133</v>
      </c>
      <c r="O233" s="535" t="s">
        <v>132</v>
      </c>
    </row>
    <row r="234" spans="1:15" s="531" customFormat="1" ht="47.25" customHeight="1">
      <c r="A234" s="757"/>
      <c r="B234" s="526"/>
      <c r="C234" s="526"/>
      <c r="D234" s="527">
        <f>'сравнение затрат до и после Зах'!E235</f>
        <v>0.3570838488768938</v>
      </c>
      <c r="E234" s="526"/>
      <c r="F234" s="526"/>
      <c r="G234" s="526"/>
      <c r="H234" s="542"/>
      <c r="I234" s="534"/>
      <c r="J234" s="534" t="s">
        <v>23</v>
      </c>
      <c r="K234" s="534">
        <v>1</v>
      </c>
      <c r="L234" s="534">
        <v>2745</v>
      </c>
      <c r="M234" s="526"/>
      <c r="N234" s="533" t="s">
        <v>133</v>
      </c>
      <c r="O234" s="535" t="s">
        <v>132</v>
      </c>
    </row>
    <row r="235" spans="1:15" s="531" customFormat="1" ht="39.75" customHeight="1">
      <c r="A235" s="757"/>
      <c r="B235" s="526"/>
      <c r="C235" s="526"/>
      <c r="D235" s="527">
        <f>'сравнение затрат до и после Зах'!E236</f>
        <v>0.36020589345723825</v>
      </c>
      <c r="E235" s="526"/>
      <c r="F235" s="526"/>
      <c r="G235" s="526"/>
      <c r="H235" s="542"/>
      <c r="I235" s="534"/>
      <c r="J235" s="534" t="s">
        <v>24</v>
      </c>
      <c r="K235" s="534">
        <v>1</v>
      </c>
      <c r="L235" s="534">
        <v>2769</v>
      </c>
      <c r="M235" s="526"/>
      <c r="N235" s="533" t="s">
        <v>133</v>
      </c>
      <c r="O235" s="535" t="s">
        <v>132</v>
      </c>
    </row>
    <row r="236" spans="1:15" s="531" customFormat="1" ht="39.75" customHeight="1">
      <c r="A236" s="757"/>
      <c r="B236" s="526"/>
      <c r="C236" s="526"/>
      <c r="D236" s="527">
        <f>'сравнение затрат до и после Зах'!E237</f>
        <v>0.505380966443254</v>
      </c>
      <c r="E236" s="526"/>
      <c r="F236" s="526"/>
      <c r="G236" s="526"/>
      <c r="H236" s="542"/>
      <c r="I236" s="534"/>
      <c r="J236" s="534" t="s">
        <v>25</v>
      </c>
      <c r="K236" s="534">
        <v>1</v>
      </c>
      <c r="L236" s="534">
        <v>3885</v>
      </c>
      <c r="M236" s="526"/>
      <c r="N236" s="533" t="s">
        <v>133</v>
      </c>
      <c r="O236" s="535" t="s">
        <v>132</v>
      </c>
    </row>
    <row r="237" spans="1:15" s="531" customFormat="1" ht="39.75" customHeight="1">
      <c r="A237" s="757"/>
      <c r="B237" s="526"/>
      <c r="C237" s="526"/>
      <c r="D237" s="527">
        <f>'сравнение затрат до и после Зах'!E238</f>
        <v>0.3629376824650396</v>
      </c>
      <c r="E237" s="526"/>
      <c r="F237" s="526"/>
      <c r="G237" s="526"/>
      <c r="H237" s="542"/>
      <c r="I237" s="534"/>
      <c r="J237" s="534" t="s">
        <v>26</v>
      </c>
      <c r="K237" s="534">
        <v>1</v>
      </c>
      <c r="L237" s="534">
        <v>2790</v>
      </c>
      <c r="M237" s="526"/>
      <c r="N237" s="533" t="s">
        <v>133</v>
      </c>
      <c r="O237" s="535" t="s">
        <v>132</v>
      </c>
    </row>
    <row r="238" spans="1:15" s="531" customFormat="1" ht="69" customHeight="1">
      <c r="A238" s="757"/>
      <c r="B238" s="526"/>
      <c r="C238" s="526"/>
      <c r="D238" s="527">
        <f>'сравнение затрат до и после Зах'!E239</f>
        <v>0.3626775120833442</v>
      </c>
      <c r="E238" s="526"/>
      <c r="F238" s="526"/>
      <c r="G238" s="526"/>
      <c r="H238" s="542"/>
      <c r="I238" s="534"/>
      <c r="J238" s="534" t="s">
        <v>27</v>
      </c>
      <c r="K238" s="534">
        <v>1</v>
      </c>
      <c r="L238" s="534">
        <v>2788</v>
      </c>
      <c r="M238" s="526"/>
      <c r="N238" s="533" t="s">
        <v>133</v>
      </c>
      <c r="O238" s="535" t="s">
        <v>132</v>
      </c>
    </row>
    <row r="239" spans="1:15" s="531" customFormat="1" ht="42" customHeight="1">
      <c r="A239" s="757"/>
      <c r="B239" s="526"/>
      <c r="C239" s="526"/>
      <c r="D239" s="527">
        <f>'сравнение затрат до и после Зах'!E240</f>
        <v>0.3555228265867216</v>
      </c>
      <c r="E239" s="526"/>
      <c r="F239" s="526"/>
      <c r="G239" s="526"/>
      <c r="H239" s="542"/>
      <c r="I239" s="534"/>
      <c r="J239" s="534" t="s">
        <v>28</v>
      </c>
      <c r="K239" s="534"/>
      <c r="L239" s="534">
        <v>2733</v>
      </c>
      <c r="M239" s="526"/>
      <c r="N239" s="533" t="s">
        <v>133</v>
      </c>
      <c r="O239" s="535" t="s">
        <v>132</v>
      </c>
    </row>
    <row r="240" spans="1:15" s="531" customFormat="1" ht="47.25" customHeight="1">
      <c r="A240" s="757"/>
      <c r="B240" s="526"/>
      <c r="C240" s="526"/>
      <c r="D240" s="527">
        <f>'сравнение затрат до и после Зах'!E241</f>
        <v>0.11200334931985631</v>
      </c>
      <c r="E240" s="526"/>
      <c r="F240" s="526"/>
      <c r="G240" s="526"/>
      <c r="H240" s="542"/>
      <c r="I240" s="534"/>
      <c r="J240" s="526" t="s">
        <v>35</v>
      </c>
      <c r="K240" s="526">
        <v>1</v>
      </c>
      <c r="L240" s="526">
        <v>861</v>
      </c>
      <c r="M240" s="526"/>
      <c r="N240" s="533" t="s">
        <v>133</v>
      </c>
      <c r="O240" s="535" t="s">
        <v>132</v>
      </c>
    </row>
    <row r="241" spans="1:15" s="531" customFormat="1" ht="56.25" customHeight="1">
      <c r="A241" s="525">
        <v>13</v>
      </c>
      <c r="B241" s="526"/>
      <c r="C241" s="526" t="s">
        <v>42</v>
      </c>
      <c r="D241" s="527">
        <f>'сравнение затрат до и после Зах'!E242</f>
        <v>0.9</v>
      </c>
      <c r="E241" s="526" t="s">
        <v>520</v>
      </c>
      <c r="F241" s="526" t="s">
        <v>521</v>
      </c>
      <c r="G241" s="526" t="s">
        <v>397</v>
      </c>
      <c r="H241" s="534">
        <v>64</v>
      </c>
      <c r="I241" s="526">
        <v>3365</v>
      </c>
      <c r="J241" s="526"/>
      <c r="K241" s="526"/>
      <c r="L241" s="526"/>
      <c r="M241" s="526" t="s">
        <v>836</v>
      </c>
      <c r="N241" s="533" t="s">
        <v>133</v>
      </c>
      <c r="O241" s="535" t="s">
        <v>132</v>
      </c>
    </row>
    <row r="242" spans="1:15" s="164" customFormat="1" ht="78.75" customHeight="1">
      <c r="A242" s="555"/>
      <c r="B242" s="556" t="s">
        <v>458</v>
      </c>
      <c r="C242" s="556">
        <f>A241</f>
        <v>13</v>
      </c>
      <c r="D242" s="557">
        <f>SUM(D184:D241)</f>
        <v>74.37000000000003</v>
      </c>
      <c r="E242" s="556"/>
      <c r="F242" s="556"/>
      <c r="G242" s="556"/>
      <c r="H242" s="569">
        <f>SUM(H184:H241)</f>
        <v>10396</v>
      </c>
      <c r="I242" s="556">
        <f>SUM(I184:I241)</f>
        <v>450772</v>
      </c>
      <c r="J242" s="573"/>
      <c r="K242" s="556">
        <f>SUM(K184:K241)</f>
        <v>53</v>
      </c>
      <c r="L242" s="556">
        <f>SUM(L184:L241)</f>
        <v>157780</v>
      </c>
      <c r="M242" s="556"/>
      <c r="N242" s="556" t="s">
        <v>398</v>
      </c>
      <c r="O242" s="558"/>
    </row>
    <row r="243" spans="1:15" s="164" customFormat="1" ht="33.75" customHeight="1">
      <c r="A243" s="545"/>
      <c r="B243" s="546" t="s">
        <v>423</v>
      </c>
      <c r="C243" s="546"/>
      <c r="D243" s="553"/>
      <c r="E243" s="546"/>
      <c r="F243" s="546"/>
      <c r="G243" s="546"/>
      <c r="H243" s="546"/>
      <c r="I243" s="546"/>
      <c r="J243" s="574"/>
      <c r="K243" s="574"/>
      <c r="L243" s="546"/>
      <c r="M243" s="546"/>
      <c r="N243" s="546"/>
      <c r="O243" s="554"/>
    </row>
    <row r="244" spans="1:15" s="531" customFormat="1" ht="76.5" customHeight="1">
      <c r="A244" s="756">
        <v>1</v>
      </c>
      <c r="B244" s="526"/>
      <c r="C244" s="739" t="s">
        <v>426</v>
      </c>
      <c r="D244" s="527">
        <f>'сравнение затрат до и после Зах'!E245</f>
        <v>5.535124541661398</v>
      </c>
      <c r="E244" s="526" t="s">
        <v>798</v>
      </c>
      <c r="F244" s="526" t="s">
        <v>521</v>
      </c>
      <c r="G244" s="526" t="s">
        <v>436</v>
      </c>
      <c r="H244" s="526">
        <v>1513</v>
      </c>
      <c r="I244" s="526">
        <v>62539</v>
      </c>
      <c r="J244" s="533"/>
      <c r="K244" s="533"/>
      <c r="L244" s="526"/>
      <c r="M244" s="534" t="s">
        <v>442</v>
      </c>
      <c r="N244" s="533" t="s">
        <v>134</v>
      </c>
      <c r="O244" s="535" t="s">
        <v>132</v>
      </c>
    </row>
    <row r="245" spans="1:15" s="531" customFormat="1" ht="95.25" customHeight="1">
      <c r="A245" s="756"/>
      <c r="B245" s="526"/>
      <c r="C245" s="749"/>
      <c r="D245" s="527">
        <f>'сравнение затрат до и после Зах'!E246</f>
        <v>0.7648754583386016</v>
      </c>
      <c r="E245" s="526" t="s">
        <v>798</v>
      </c>
      <c r="F245" s="526" t="s">
        <v>521</v>
      </c>
      <c r="G245" s="526"/>
      <c r="H245" s="526"/>
      <c r="I245" s="526"/>
      <c r="J245" s="534" t="s">
        <v>427</v>
      </c>
      <c r="K245" s="534">
        <v>1</v>
      </c>
      <c r="L245" s="526">
        <v>8642</v>
      </c>
      <c r="M245" s="534" t="s">
        <v>442</v>
      </c>
      <c r="N245" s="533" t="s">
        <v>134</v>
      </c>
      <c r="O245" s="535" t="s">
        <v>132</v>
      </c>
    </row>
    <row r="246" spans="1:15" s="531" customFormat="1" ht="92.25" customHeight="1">
      <c r="A246" s="525">
        <v>2</v>
      </c>
      <c r="B246" s="526"/>
      <c r="C246" s="526" t="s">
        <v>428</v>
      </c>
      <c r="D246" s="527">
        <f>'сравнение затрат до и после Зах'!E247</f>
        <v>6</v>
      </c>
      <c r="E246" s="526" t="s">
        <v>798</v>
      </c>
      <c r="F246" s="526" t="s">
        <v>521</v>
      </c>
      <c r="G246" s="534" t="s">
        <v>440</v>
      </c>
      <c r="H246" s="526">
        <v>1757</v>
      </c>
      <c r="I246" s="526">
        <v>60974</v>
      </c>
      <c r="J246" s="542"/>
      <c r="K246" s="542"/>
      <c r="L246" s="526"/>
      <c r="M246" s="534" t="s">
        <v>442</v>
      </c>
      <c r="N246" s="533" t="s">
        <v>134</v>
      </c>
      <c r="O246" s="535" t="s">
        <v>132</v>
      </c>
    </row>
    <row r="247" spans="1:15" s="531" customFormat="1" ht="77.25" customHeight="1">
      <c r="A247" s="525">
        <v>3</v>
      </c>
      <c r="B247" s="526"/>
      <c r="C247" s="526" t="s">
        <v>429</v>
      </c>
      <c r="D247" s="527">
        <f>'сравнение затрат до и после Зах'!E248</f>
        <v>5.86</v>
      </c>
      <c r="E247" s="526" t="s">
        <v>798</v>
      </c>
      <c r="F247" s="526" t="s">
        <v>521</v>
      </c>
      <c r="G247" s="526" t="s">
        <v>437</v>
      </c>
      <c r="H247" s="526">
        <v>1541</v>
      </c>
      <c r="I247" s="526">
        <v>67401</v>
      </c>
      <c r="J247" s="542"/>
      <c r="K247" s="542"/>
      <c r="L247" s="526"/>
      <c r="M247" s="526" t="s">
        <v>836</v>
      </c>
      <c r="N247" s="533" t="s">
        <v>134</v>
      </c>
      <c r="O247" s="535" t="s">
        <v>132</v>
      </c>
    </row>
    <row r="248" spans="1:15" s="531" customFormat="1" ht="108.75" customHeight="1">
      <c r="A248" s="756">
        <v>4</v>
      </c>
      <c r="B248" s="526"/>
      <c r="C248" s="526" t="s">
        <v>430</v>
      </c>
      <c r="D248" s="527">
        <f>'сравнение затрат до и после Зах'!E249</f>
        <v>4.8603932366400375</v>
      </c>
      <c r="E248" s="526" t="s">
        <v>798</v>
      </c>
      <c r="F248" s="526" t="s">
        <v>521</v>
      </c>
      <c r="G248" s="526" t="s">
        <v>422</v>
      </c>
      <c r="H248" s="526">
        <v>1071</v>
      </c>
      <c r="I248" s="526">
        <v>45164</v>
      </c>
      <c r="J248" s="542"/>
      <c r="K248" s="542"/>
      <c r="L248" s="526"/>
      <c r="M248" s="526" t="s">
        <v>836</v>
      </c>
      <c r="N248" s="533" t="s">
        <v>134</v>
      </c>
      <c r="O248" s="535" t="s">
        <v>132</v>
      </c>
    </row>
    <row r="249" spans="1:15" s="531" customFormat="1" ht="111.75" customHeight="1">
      <c r="A249" s="757"/>
      <c r="B249" s="526"/>
      <c r="C249" s="526" t="s">
        <v>424</v>
      </c>
      <c r="D249" s="527">
        <f>'сравнение затрат до и после Зах'!E250</f>
        <v>0.6896067633599627</v>
      </c>
      <c r="E249" s="526" t="s">
        <v>798</v>
      </c>
      <c r="F249" s="526" t="s">
        <v>521</v>
      </c>
      <c r="G249" s="526"/>
      <c r="H249" s="526"/>
      <c r="I249" s="526"/>
      <c r="J249" s="534" t="s">
        <v>431</v>
      </c>
      <c r="K249" s="534">
        <v>1</v>
      </c>
      <c r="L249" s="526">
        <v>6408</v>
      </c>
      <c r="M249" s="526"/>
      <c r="N249" s="533" t="s">
        <v>134</v>
      </c>
      <c r="O249" s="535" t="s">
        <v>132</v>
      </c>
    </row>
    <row r="250" spans="1:15" s="531" customFormat="1" ht="78.75" customHeight="1">
      <c r="A250" s="756">
        <v>5</v>
      </c>
      <c r="B250" s="526"/>
      <c r="C250" s="739" t="s">
        <v>432</v>
      </c>
      <c r="D250" s="527">
        <f>'сравнение затрат до и после Зах'!E251</f>
        <v>0.9505993581403418</v>
      </c>
      <c r="E250" s="526" t="s">
        <v>798</v>
      </c>
      <c r="F250" s="526" t="s">
        <v>521</v>
      </c>
      <c r="G250" s="534" t="s">
        <v>381</v>
      </c>
      <c r="H250" s="526">
        <v>159</v>
      </c>
      <c r="I250" s="526">
        <v>8366</v>
      </c>
      <c r="J250" s="534"/>
      <c r="K250" s="534"/>
      <c r="L250" s="526"/>
      <c r="M250" s="526" t="s">
        <v>836</v>
      </c>
      <c r="N250" s="533" t="s">
        <v>133</v>
      </c>
      <c r="O250" s="535" t="s">
        <v>132</v>
      </c>
    </row>
    <row r="251" spans="1:15" s="531" customFormat="1" ht="39" customHeight="1">
      <c r="A251" s="757"/>
      <c r="B251" s="526"/>
      <c r="C251" s="739"/>
      <c r="D251" s="527">
        <f>'сравнение затрат до и после Зах'!E252</f>
        <v>0.35940064185965825</v>
      </c>
      <c r="E251" s="526" t="s">
        <v>798</v>
      </c>
      <c r="F251" s="526" t="s">
        <v>521</v>
      </c>
      <c r="G251" s="526"/>
      <c r="H251" s="526"/>
      <c r="I251" s="526"/>
      <c r="J251" s="534" t="s">
        <v>433</v>
      </c>
      <c r="K251" s="534">
        <v>1</v>
      </c>
      <c r="L251" s="526">
        <v>3163</v>
      </c>
      <c r="M251" s="526"/>
      <c r="N251" s="533" t="s">
        <v>134</v>
      </c>
      <c r="O251" s="535" t="s">
        <v>132</v>
      </c>
    </row>
    <row r="252" spans="1:15" s="531" customFormat="1" ht="117.75" customHeight="1">
      <c r="A252" s="525">
        <v>6</v>
      </c>
      <c r="B252" s="526"/>
      <c r="C252" s="526" t="s">
        <v>748</v>
      </c>
      <c r="D252" s="527">
        <f>'сравнение затрат до и после Зах'!E253</f>
        <v>6.1</v>
      </c>
      <c r="E252" s="526" t="s">
        <v>798</v>
      </c>
      <c r="F252" s="526" t="s">
        <v>521</v>
      </c>
      <c r="G252" s="526" t="s">
        <v>417</v>
      </c>
      <c r="H252" s="534"/>
      <c r="I252" s="526"/>
      <c r="J252" s="534" t="s">
        <v>434</v>
      </c>
      <c r="K252" s="534">
        <v>1</v>
      </c>
      <c r="L252" s="526">
        <v>930</v>
      </c>
      <c r="M252" s="526"/>
      <c r="N252" s="533" t="s">
        <v>134</v>
      </c>
      <c r="O252" s="535" t="s">
        <v>132</v>
      </c>
    </row>
    <row r="253" spans="1:15" s="531" customFormat="1" ht="102" customHeight="1">
      <c r="A253" s="525">
        <v>7</v>
      </c>
      <c r="B253" s="526"/>
      <c r="C253" s="526" t="s">
        <v>425</v>
      </c>
      <c r="D253" s="527">
        <f>'сравнение затрат до и после Зах'!E254</f>
        <v>2.52</v>
      </c>
      <c r="E253" s="526" t="s">
        <v>798</v>
      </c>
      <c r="F253" s="526" t="s">
        <v>521</v>
      </c>
      <c r="G253" s="526"/>
      <c r="H253" s="526"/>
      <c r="I253" s="526"/>
      <c r="J253" s="534" t="s">
        <v>439</v>
      </c>
      <c r="K253" s="534">
        <v>1</v>
      </c>
      <c r="L253" s="526">
        <v>16117</v>
      </c>
      <c r="M253" s="526" t="s">
        <v>836</v>
      </c>
      <c r="N253" s="533" t="s">
        <v>134</v>
      </c>
      <c r="O253" s="535" t="s">
        <v>132</v>
      </c>
    </row>
    <row r="254" spans="1:15" s="164" customFormat="1" ht="38.25" customHeight="1">
      <c r="A254" s="555"/>
      <c r="B254" s="556" t="s">
        <v>441</v>
      </c>
      <c r="C254" s="556">
        <f>A253</f>
        <v>7</v>
      </c>
      <c r="D254" s="557">
        <f>SUM(D244:D253)</f>
        <v>33.64</v>
      </c>
      <c r="E254" s="556"/>
      <c r="F254" s="556"/>
      <c r="G254" s="556"/>
      <c r="H254" s="556">
        <f>SUM(H244:H253)</f>
        <v>6041</v>
      </c>
      <c r="I254" s="556">
        <f>SUM(I244:I253)</f>
        <v>244444</v>
      </c>
      <c r="J254" s="573"/>
      <c r="K254" s="556">
        <f>SUM(K244:K253)</f>
        <v>5</v>
      </c>
      <c r="L254" s="556">
        <f>SUM(L244:L253)</f>
        <v>35260</v>
      </c>
      <c r="M254" s="556"/>
      <c r="N254" s="556" t="s">
        <v>145</v>
      </c>
      <c r="O254" s="558"/>
    </row>
    <row r="255" spans="1:15" s="164" customFormat="1" ht="35.25" customHeight="1">
      <c r="A255" s="545"/>
      <c r="B255" s="546" t="s">
        <v>854</v>
      </c>
      <c r="C255" s="546"/>
      <c r="D255" s="575"/>
      <c r="E255" s="546"/>
      <c r="F255" s="546"/>
      <c r="G255" s="546"/>
      <c r="H255" s="576"/>
      <c r="I255" s="576"/>
      <c r="J255" s="574"/>
      <c r="K255" s="574"/>
      <c r="L255" s="576"/>
      <c r="M255" s="546"/>
      <c r="N255" s="546"/>
      <c r="O255" s="554"/>
    </row>
    <row r="256" spans="1:15" s="531" customFormat="1" ht="97.5" customHeight="1">
      <c r="A256" s="756">
        <v>1</v>
      </c>
      <c r="B256" s="526"/>
      <c r="C256" s="526" t="s">
        <v>443</v>
      </c>
      <c r="D256" s="527">
        <f>'сравнение затрат до и после Зах'!E257</f>
        <v>4.838571961686776</v>
      </c>
      <c r="E256" s="526" t="s">
        <v>798</v>
      </c>
      <c r="F256" s="526" t="s">
        <v>521</v>
      </c>
      <c r="G256" s="526" t="s">
        <v>418</v>
      </c>
      <c r="H256" s="526">
        <v>676</v>
      </c>
      <c r="I256" s="526">
        <v>33765</v>
      </c>
      <c r="J256" s="534"/>
      <c r="K256" s="534"/>
      <c r="L256" s="526"/>
      <c r="M256" s="526" t="s">
        <v>442</v>
      </c>
      <c r="N256" s="533" t="s">
        <v>134</v>
      </c>
      <c r="O256" s="535" t="s">
        <v>132</v>
      </c>
    </row>
    <row r="257" spans="1:15" s="531" customFormat="1" ht="36.75" customHeight="1">
      <c r="A257" s="757"/>
      <c r="B257" s="526"/>
      <c r="C257" s="526" t="s">
        <v>838</v>
      </c>
      <c r="D257" s="527">
        <f>'сравнение затрат до и после Зах'!E258</f>
        <v>0.04700286105236969</v>
      </c>
      <c r="E257" s="526"/>
      <c r="F257" s="526"/>
      <c r="G257" s="526"/>
      <c r="H257" s="526"/>
      <c r="I257" s="526"/>
      <c r="J257" s="534" t="s">
        <v>866</v>
      </c>
      <c r="K257" s="534">
        <v>1</v>
      </c>
      <c r="L257" s="534">
        <v>328</v>
      </c>
      <c r="M257" s="526"/>
      <c r="N257" s="533" t="s">
        <v>133</v>
      </c>
      <c r="O257" s="535" t="s">
        <v>132</v>
      </c>
    </row>
    <row r="258" spans="1:15" s="531" customFormat="1" ht="45.75" customHeight="1">
      <c r="A258" s="757"/>
      <c r="B258" s="526"/>
      <c r="C258" s="526" t="s">
        <v>838</v>
      </c>
      <c r="D258" s="527">
        <f>'сравнение затрат до и после Зах'!E259</f>
        <v>0.13470332130862048</v>
      </c>
      <c r="E258" s="526"/>
      <c r="F258" s="526"/>
      <c r="G258" s="526"/>
      <c r="H258" s="526"/>
      <c r="I258" s="526"/>
      <c r="J258" s="534" t="s">
        <v>44</v>
      </c>
      <c r="K258" s="534">
        <v>1</v>
      </c>
      <c r="L258" s="526">
        <v>940</v>
      </c>
      <c r="M258" s="526"/>
      <c r="N258" s="533" t="s">
        <v>133</v>
      </c>
      <c r="O258" s="535" t="s">
        <v>132</v>
      </c>
    </row>
    <row r="259" spans="1:15" s="531" customFormat="1" ht="49.5" customHeight="1">
      <c r="A259" s="757"/>
      <c r="B259" s="526"/>
      <c r="C259" s="526" t="s">
        <v>838</v>
      </c>
      <c r="D259" s="527">
        <f>'сравнение затрат до и после Зах'!E260</f>
        <v>0.6696474685906206</v>
      </c>
      <c r="E259" s="526"/>
      <c r="F259" s="526"/>
      <c r="G259" s="526"/>
      <c r="H259" s="526"/>
      <c r="I259" s="526"/>
      <c r="J259" s="534" t="s">
        <v>867</v>
      </c>
      <c r="K259" s="534">
        <v>1</v>
      </c>
      <c r="L259" s="526">
        <v>4673</v>
      </c>
      <c r="M259" s="526"/>
      <c r="N259" s="533" t="s">
        <v>133</v>
      </c>
      <c r="O259" s="535" t="s">
        <v>132</v>
      </c>
    </row>
    <row r="260" spans="1:15" s="531" customFormat="1" ht="53.25" customHeight="1">
      <c r="A260" s="757"/>
      <c r="B260" s="526"/>
      <c r="C260" s="526" t="s">
        <v>838</v>
      </c>
      <c r="D260" s="527">
        <f>'сравнение затрат до и после Зах'!E261</f>
        <v>0.07007438736161213</v>
      </c>
      <c r="E260" s="526"/>
      <c r="F260" s="526"/>
      <c r="G260" s="526"/>
      <c r="H260" s="526"/>
      <c r="I260" s="526"/>
      <c r="J260" s="534" t="s">
        <v>868</v>
      </c>
      <c r="K260" s="534">
        <v>1</v>
      </c>
      <c r="L260" s="526">
        <v>489</v>
      </c>
      <c r="M260" s="526"/>
      <c r="N260" s="533" t="s">
        <v>133</v>
      </c>
      <c r="O260" s="535" t="s">
        <v>132</v>
      </c>
    </row>
    <row r="261" spans="1:15" s="531" customFormat="1" ht="58.5" customHeight="1">
      <c r="A261" s="525">
        <v>2</v>
      </c>
      <c r="B261" s="526"/>
      <c r="C261" s="526" t="s">
        <v>448</v>
      </c>
      <c r="D261" s="527">
        <f>'сравнение затрат до и после Зах'!E262</f>
        <v>5.76</v>
      </c>
      <c r="E261" s="526" t="s">
        <v>798</v>
      </c>
      <c r="F261" s="526" t="s">
        <v>521</v>
      </c>
      <c r="G261" s="526" t="s">
        <v>419</v>
      </c>
      <c r="H261" s="526">
        <v>1381</v>
      </c>
      <c r="I261" s="526">
        <v>66074</v>
      </c>
      <c r="J261" s="542"/>
      <c r="K261" s="542"/>
      <c r="L261" s="542"/>
      <c r="M261" s="526"/>
      <c r="N261" s="533" t="s">
        <v>133</v>
      </c>
      <c r="O261" s="535" t="s">
        <v>132</v>
      </c>
    </row>
    <row r="262" spans="1:15" s="531" customFormat="1" ht="93" customHeight="1">
      <c r="A262" s="756">
        <v>3</v>
      </c>
      <c r="B262" s="739"/>
      <c r="C262" s="739" t="s">
        <v>451</v>
      </c>
      <c r="D262" s="527">
        <f>'сравнение затрат до и после Зах'!E263</f>
        <v>3.8422697993074437</v>
      </c>
      <c r="E262" s="526" t="s">
        <v>798</v>
      </c>
      <c r="F262" s="526" t="s">
        <v>521</v>
      </c>
      <c r="G262" s="526" t="s">
        <v>46</v>
      </c>
      <c r="H262" s="526">
        <v>1126</v>
      </c>
      <c r="I262" s="526">
        <v>47774</v>
      </c>
      <c r="J262" s="542"/>
      <c r="K262" s="542"/>
      <c r="L262" s="526"/>
      <c r="M262" s="526"/>
      <c r="N262" s="533" t="s">
        <v>135</v>
      </c>
      <c r="O262" s="535" t="s">
        <v>132</v>
      </c>
    </row>
    <row r="263" spans="1:15" s="531" customFormat="1" ht="41.25" customHeight="1">
      <c r="A263" s="757"/>
      <c r="B263" s="739"/>
      <c r="C263" s="749"/>
      <c r="D263" s="527">
        <f>'сравнение затрат до и после Зах'!E264</f>
        <v>0.40775961574263697</v>
      </c>
      <c r="E263" s="526" t="s">
        <v>798</v>
      </c>
      <c r="F263" s="526" t="s">
        <v>521</v>
      </c>
      <c r="G263" s="526"/>
      <c r="H263" s="526"/>
      <c r="I263" s="526"/>
      <c r="J263" s="534" t="s">
        <v>860</v>
      </c>
      <c r="K263" s="534">
        <v>1</v>
      </c>
      <c r="L263" s="526">
        <v>5070</v>
      </c>
      <c r="M263" s="526"/>
      <c r="N263" s="533" t="s">
        <v>134</v>
      </c>
      <c r="O263" s="535" t="s">
        <v>132</v>
      </c>
    </row>
    <row r="264" spans="1:15" s="531" customFormat="1" ht="50.25" customHeight="1">
      <c r="A264" s="757"/>
      <c r="B264" s="749"/>
      <c r="C264" s="749"/>
      <c r="D264" s="527">
        <f>'сравнение затрат до и после Зах'!E265</f>
        <v>0.06997058494991995</v>
      </c>
      <c r="E264" s="526" t="s">
        <v>520</v>
      </c>
      <c r="F264" s="526" t="s">
        <v>521</v>
      </c>
      <c r="G264" s="526"/>
      <c r="H264" s="526"/>
      <c r="I264" s="526"/>
      <c r="J264" s="534" t="s">
        <v>43</v>
      </c>
      <c r="K264" s="534">
        <v>1</v>
      </c>
      <c r="L264" s="526">
        <v>870</v>
      </c>
      <c r="M264" s="526"/>
      <c r="N264" s="533" t="s">
        <v>134</v>
      </c>
      <c r="O264" s="535" t="s">
        <v>132</v>
      </c>
    </row>
    <row r="265" spans="1:15" s="531" customFormat="1" ht="114.75" customHeight="1">
      <c r="A265" s="756">
        <v>4</v>
      </c>
      <c r="B265" s="526"/>
      <c r="C265" s="739" t="s">
        <v>452</v>
      </c>
      <c r="D265" s="527">
        <f>'сравнение затрат до и после Зах'!E266</f>
        <v>3.959831539541413</v>
      </c>
      <c r="E265" s="526" t="s">
        <v>798</v>
      </c>
      <c r="F265" s="526" t="s">
        <v>521</v>
      </c>
      <c r="G265" s="526" t="s">
        <v>47</v>
      </c>
      <c r="H265" s="526">
        <v>532</v>
      </c>
      <c r="I265" s="526">
        <v>25185</v>
      </c>
      <c r="J265" s="542"/>
      <c r="K265" s="542"/>
      <c r="L265" s="526"/>
      <c r="M265" s="526"/>
      <c r="N265" s="533" t="s">
        <v>135</v>
      </c>
      <c r="O265" s="535" t="s">
        <v>132</v>
      </c>
    </row>
    <row r="266" spans="1:15" s="531" customFormat="1" ht="52.5" customHeight="1">
      <c r="A266" s="757"/>
      <c r="B266" s="526"/>
      <c r="C266" s="749"/>
      <c r="D266" s="527">
        <f>'сравнение затрат до и после Зах'!E267</f>
        <v>0.12484043051006084</v>
      </c>
      <c r="E266" s="526" t="s">
        <v>798</v>
      </c>
      <c r="F266" s="526" t="s">
        <v>521</v>
      </c>
      <c r="G266" s="526"/>
      <c r="H266" s="526"/>
      <c r="I266" s="526"/>
      <c r="J266" s="533" t="s">
        <v>855</v>
      </c>
      <c r="K266" s="533">
        <v>1</v>
      </c>
      <c r="L266" s="526">
        <v>794</v>
      </c>
      <c r="M266" s="526"/>
      <c r="N266" s="533" t="s">
        <v>134</v>
      </c>
      <c r="O266" s="535" t="s">
        <v>132</v>
      </c>
    </row>
    <row r="267" spans="1:15" s="531" customFormat="1" ht="42.75" customHeight="1">
      <c r="A267" s="757"/>
      <c r="B267" s="526"/>
      <c r="C267" s="749"/>
      <c r="D267" s="527">
        <f>'сравнение затрат до и после Зах'!E268</f>
        <v>0.5113111839026673</v>
      </c>
      <c r="E267" s="526" t="s">
        <v>798</v>
      </c>
      <c r="F267" s="526" t="s">
        <v>521</v>
      </c>
      <c r="G267" s="526"/>
      <c r="H267" s="526"/>
      <c r="I267" s="526"/>
      <c r="J267" s="533" t="s">
        <v>856</v>
      </c>
      <c r="K267" s="533">
        <v>1</v>
      </c>
      <c r="L267" s="526">
        <v>3252</v>
      </c>
      <c r="M267" s="526"/>
      <c r="N267" s="533" t="s">
        <v>134</v>
      </c>
      <c r="O267" s="535" t="s">
        <v>132</v>
      </c>
    </row>
    <row r="268" spans="1:15" s="531" customFormat="1" ht="42.75" customHeight="1">
      <c r="A268" s="757"/>
      <c r="B268" s="526"/>
      <c r="C268" s="749"/>
      <c r="D268" s="527">
        <f>'сравнение затрат до и после Зах'!E269</f>
        <v>0.10613008890968648</v>
      </c>
      <c r="E268" s="526" t="s">
        <v>798</v>
      </c>
      <c r="F268" s="526" t="s">
        <v>521</v>
      </c>
      <c r="G268" s="526"/>
      <c r="H268" s="526"/>
      <c r="I268" s="526"/>
      <c r="J268" s="533" t="s">
        <v>857</v>
      </c>
      <c r="K268" s="533">
        <v>1</v>
      </c>
      <c r="L268" s="526">
        <v>675</v>
      </c>
      <c r="M268" s="526"/>
      <c r="N268" s="533" t="s">
        <v>133</v>
      </c>
      <c r="O268" s="535" t="s">
        <v>132</v>
      </c>
    </row>
    <row r="269" spans="1:15" s="531" customFormat="1" ht="53.25" customHeight="1">
      <c r="A269" s="757"/>
      <c r="B269" s="526"/>
      <c r="C269" s="749"/>
      <c r="D269" s="527">
        <f>'сравнение затрат до и после Зах'!E270</f>
        <v>0.13820496022461395</v>
      </c>
      <c r="E269" s="526" t="s">
        <v>798</v>
      </c>
      <c r="F269" s="526" t="s">
        <v>521</v>
      </c>
      <c r="G269" s="526"/>
      <c r="H269" s="526"/>
      <c r="I269" s="526"/>
      <c r="J269" s="533" t="s">
        <v>274</v>
      </c>
      <c r="K269" s="533">
        <v>1</v>
      </c>
      <c r="L269" s="526">
        <v>879</v>
      </c>
      <c r="M269" s="526"/>
      <c r="N269" s="533" t="s">
        <v>134</v>
      </c>
      <c r="O269" s="535" t="s">
        <v>132</v>
      </c>
    </row>
    <row r="270" spans="1:15" s="531" customFormat="1" ht="42.75" customHeight="1">
      <c r="A270" s="757"/>
      <c r="B270" s="526"/>
      <c r="C270" s="749"/>
      <c r="D270" s="527">
        <f>'сравнение затрат до и после Зах'!E271</f>
        <v>0.1465381375760412</v>
      </c>
      <c r="E270" s="526" t="s">
        <v>798</v>
      </c>
      <c r="F270" s="526" t="s">
        <v>521</v>
      </c>
      <c r="G270" s="526"/>
      <c r="H270" s="526"/>
      <c r="I270" s="526"/>
      <c r="J270" s="533" t="s">
        <v>858</v>
      </c>
      <c r="K270" s="533">
        <v>1</v>
      </c>
      <c r="L270" s="526">
        <v>932</v>
      </c>
      <c r="M270" s="526"/>
      <c r="N270" s="533" t="s">
        <v>134</v>
      </c>
      <c r="O270" s="535" t="s">
        <v>132</v>
      </c>
    </row>
    <row r="271" spans="1:15" s="531" customFormat="1" ht="42.75" customHeight="1">
      <c r="A271" s="757"/>
      <c r="B271" s="526"/>
      <c r="C271" s="749"/>
      <c r="D271" s="527">
        <f>'сравнение затрат до и после Зах'!E272</f>
        <v>0.05314365933551708</v>
      </c>
      <c r="E271" s="526" t="s">
        <v>798</v>
      </c>
      <c r="F271" s="526" t="s">
        <v>521</v>
      </c>
      <c r="G271" s="526"/>
      <c r="H271" s="526"/>
      <c r="I271" s="526"/>
      <c r="J271" s="533" t="s">
        <v>859</v>
      </c>
      <c r="K271" s="533">
        <v>1</v>
      </c>
      <c r="L271" s="526">
        <v>338</v>
      </c>
      <c r="M271" s="526"/>
      <c r="N271" s="533" t="s">
        <v>133</v>
      </c>
      <c r="O271" s="535" t="s">
        <v>132</v>
      </c>
    </row>
    <row r="272" spans="1:15" s="531" customFormat="1" ht="103.5" customHeight="1">
      <c r="A272" s="525">
        <v>5</v>
      </c>
      <c r="B272" s="526"/>
      <c r="C272" s="526" t="s">
        <v>455</v>
      </c>
      <c r="D272" s="527">
        <f>'сравнение затрат до и после Зах'!E273</f>
        <v>5.76</v>
      </c>
      <c r="E272" s="526" t="s">
        <v>798</v>
      </c>
      <c r="F272" s="526" t="s">
        <v>521</v>
      </c>
      <c r="G272" s="526" t="s">
        <v>420</v>
      </c>
      <c r="H272" s="526">
        <v>1381</v>
      </c>
      <c r="I272" s="526">
        <v>66092</v>
      </c>
      <c r="J272" s="542"/>
      <c r="K272" s="542"/>
      <c r="L272" s="526"/>
      <c r="M272" s="533"/>
      <c r="N272" s="533" t="s">
        <v>133</v>
      </c>
      <c r="O272" s="535" t="s">
        <v>132</v>
      </c>
    </row>
    <row r="273" spans="1:15" s="164" customFormat="1" ht="40.5" customHeight="1">
      <c r="A273" s="564"/>
      <c r="B273" s="565" t="s">
        <v>76</v>
      </c>
      <c r="C273" s="565">
        <f>A272</f>
        <v>5</v>
      </c>
      <c r="D273" s="567">
        <f>SUM(D256:D272)</f>
        <v>26.64</v>
      </c>
      <c r="E273" s="565"/>
      <c r="F273" s="565"/>
      <c r="G273" s="565"/>
      <c r="H273" s="565">
        <f>SUM(H256:H272)</f>
        <v>5096</v>
      </c>
      <c r="I273" s="565">
        <f>SUM(I256:I272)</f>
        <v>238890</v>
      </c>
      <c r="J273" s="565"/>
      <c r="K273" s="565">
        <f>SUM(K257:K272)</f>
        <v>12</v>
      </c>
      <c r="L273" s="565">
        <f>SUM(L256:L272)</f>
        <v>19240</v>
      </c>
      <c r="M273" s="565"/>
      <c r="N273" s="565" t="s">
        <v>400</v>
      </c>
      <c r="O273" s="568"/>
    </row>
    <row r="274" spans="1:15" s="563" customFormat="1" ht="43.5" customHeight="1">
      <c r="A274" s="559"/>
      <c r="B274" s="546" t="s">
        <v>453</v>
      </c>
      <c r="C274" s="229"/>
      <c r="D274" s="169"/>
      <c r="E274" s="229"/>
      <c r="F274" s="229"/>
      <c r="G274" s="229"/>
      <c r="H274" s="229"/>
      <c r="I274" s="229"/>
      <c r="J274" s="229"/>
      <c r="K274" s="229"/>
      <c r="L274" s="229"/>
      <c r="M274" s="229"/>
      <c r="N274" s="229"/>
      <c r="O274" s="562"/>
    </row>
    <row r="275" spans="1:15" s="531" customFormat="1" ht="72.75" customHeight="1">
      <c r="A275" s="756">
        <v>1</v>
      </c>
      <c r="B275" s="533"/>
      <c r="C275" s="739" t="s">
        <v>734</v>
      </c>
      <c r="D275" s="527">
        <f>'сравнение затрат до и после Зах'!E276</f>
        <v>4.881266448034333</v>
      </c>
      <c r="E275" s="526" t="s">
        <v>454</v>
      </c>
      <c r="F275" s="526" t="s">
        <v>521</v>
      </c>
      <c r="G275" s="526" t="s">
        <v>421</v>
      </c>
      <c r="H275" s="526">
        <v>472</v>
      </c>
      <c r="I275" s="526">
        <v>21529</v>
      </c>
      <c r="J275" s="542"/>
      <c r="K275" s="542"/>
      <c r="L275" s="526"/>
      <c r="M275" s="533"/>
      <c r="N275" s="533" t="s">
        <v>133</v>
      </c>
      <c r="O275" s="535" t="s">
        <v>132</v>
      </c>
    </row>
    <row r="276" spans="1:15" s="531" customFormat="1" ht="43.5" customHeight="1">
      <c r="A276" s="757"/>
      <c r="B276" s="526"/>
      <c r="C276" s="749"/>
      <c r="D276" s="527">
        <f>'сравнение затрат до и после Зах'!E277</f>
        <v>0.03287582493218349</v>
      </c>
      <c r="E276" s="526"/>
      <c r="F276" s="526"/>
      <c r="G276" s="526"/>
      <c r="H276" s="526"/>
      <c r="I276" s="526"/>
      <c r="J276" s="534" t="s">
        <v>861</v>
      </c>
      <c r="K276" s="534">
        <v>1</v>
      </c>
      <c r="L276" s="526">
        <v>145</v>
      </c>
      <c r="M276" s="526"/>
      <c r="N276" s="533" t="s">
        <v>133</v>
      </c>
      <c r="O276" s="535" t="s">
        <v>132</v>
      </c>
    </row>
    <row r="277" spans="1:15" s="531" customFormat="1" ht="43.5" customHeight="1">
      <c r="A277" s="757"/>
      <c r="B277" s="526"/>
      <c r="C277" s="749"/>
      <c r="D277" s="527">
        <f>'сравнение затрат до и после Зах'!E278</f>
        <v>0.28840034009474064</v>
      </c>
      <c r="E277" s="526"/>
      <c r="F277" s="526"/>
      <c r="G277" s="526"/>
      <c r="H277" s="526"/>
      <c r="I277" s="526"/>
      <c r="J277" s="534" t="s">
        <v>862</v>
      </c>
      <c r="K277" s="534">
        <v>1</v>
      </c>
      <c r="L277" s="526">
        <v>1272</v>
      </c>
      <c r="M277" s="526"/>
      <c r="N277" s="533" t="s">
        <v>134</v>
      </c>
      <c r="O277" s="535" t="s">
        <v>132</v>
      </c>
    </row>
    <row r="278" spans="1:15" s="531" customFormat="1" ht="43.5" customHeight="1">
      <c r="A278" s="757"/>
      <c r="B278" s="526"/>
      <c r="C278" s="749"/>
      <c r="D278" s="527">
        <f>'сравнение затрат до и после Зах'!E279</f>
        <v>0.040811368881331224</v>
      </c>
      <c r="E278" s="526"/>
      <c r="F278" s="526"/>
      <c r="G278" s="526"/>
      <c r="H278" s="526"/>
      <c r="I278" s="526"/>
      <c r="J278" s="534" t="s">
        <v>863</v>
      </c>
      <c r="K278" s="534">
        <v>1</v>
      </c>
      <c r="L278" s="526">
        <v>180</v>
      </c>
      <c r="M278" s="526"/>
      <c r="N278" s="533" t="s">
        <v>134</v>
      </c>
      <c r="O278" s="535" t="s">
        <v>132</v>
      </c>
    </row>
    <row r="279" spans="1:15" s="531" customFormat="1" ht="43.5" customHeight="1">
      <c r="A279" s="757"/>
      <c r="B279" s="526"/>
      <c r="C279" s="749"/>
      <c r="D279" s="527">
        <f>'сравнение затрат до и после Зах'!E280</f>
        <v>0.1437467103931333</v>
      </c>
      <c r="E279" s="526"/>
      <c r="F279" s="526"/>
      <c r="G279" s="526"/>
      <c r="H279" s="526"/>
      <c r="I279" s="526"/>
      <c r="J279" s="534" t="s">
        <v>864</v>
      </c>
      <c r="K279" s="534">
        <v>1</v>
      </c>
      <c r="L279" s="526">
        <v>634</v>
      </c>
      <c r="M279" s="526"/>
      <c r="N279" s="533" t="s">
        <v>134</v>
      </c>
      <c r="O279" s="535" t="s">
        <v>132</v>
      </c>
    </row>
    <row r="280" spans="1:15" s="531" customFormat="1" ht="43.5" customHeight="1">
      <c r="A280" s="757"/>
      <c r="B280" s="526"/>
      <c r="C280" s="749"/>
      <c r="D280" s="527">
        <f>'сравнение затрат до и после Зах'!E281</f>
        <v>0.10044131341349852</v>
      </c>
      <c r="E280" s="526"/>
      <c r="F280" s="526"/>
      <c r="G280" s="526"/>
      <c r="H280" s="526"/>
      <c r="I280" s="526"/>
      <c r="J280" s="534" t="s">
        <v>865</v>
      </c>
      <c r="K280" s="534">
        <v>1</v>
      </c>
      <c r="L280" s="526">
        <v>443</v>
      </c>
      <c r="M280" s="526"/>
      <c r="N280" s="533" t="s">
        <v>134</v>
      </c>
      <c r="O280" s="535" t="s">
        <v>132</v>
      </c>
    </row>
    <row r="281" spans="1:15" s="531" customFormat="1" ht="43.5" customHeight="1">
      <c r="A281" s="757"/>
      <c r="B281" s="526"/>
      <c r="C281" s="749"/>
      <c r="D281" s="527">
        <f>'сравнение затрат до и после Зах'!E282</f>
        <v>0.11245799425077938</v>
      </c>
      <c r="E281" s="526"/>
      <c r="F281" s="526"/>
      <c r="G281" s="526"/>
      <c r="H281" s="526"/>
      <c r="I281" s="526"/>
      <c r="J281" s="534" t="s">
        <v>45</v>
      </c>
      <c r="K281" s="534">
        <v>1</v>
      </c>
      <c r="L281" s="526">
        <v>496</v>
      </c>
      <c r="M281" s="526"/>
      <c r="N281" s="533" t="s">
        <v>134</v>
      </c>
      <c r="O281" s="535" t="s">
        <v>132</v>
      </c>
    </row>
    <row r="282" spans="1:15" s="164" customFormat="1" ht="45.75" customHeight="1">
      <c r="A282" s="555"/>
      <c r="B282" s="556" t="s">
        <v>77</v>
      </c>
      <c r="C282" s="556">
        <f>A275</f>
        <v>1</v>
      </c>
      <c r="D282" s="557">
        <f>SUM(D275:D281)</f>
        <v>5.6000000000000005</v>
      </c>
      <c r="E282" s="556"/>
      <c r="F282" s="556"/>
      <c r="G282" s="556"/>
      <c r="H282" s="556">
        <f>SUM(H275:H281)</f>
        <v>472</v>
      </c>
      <c r="I282" s="556">
        <f>SUM(I275:I281)</f>
        <v>21529</v>
      </c>
      <c r="J282" s="556"/>
      <c r="K282" s="556">
        <f>SUM(K275:K281)</f>
        <v>6</v>
      </c>
      <c r="L282" s="556">
        <f>SUM(L275:L281)</f>
        <v>3170</v>
      </c>
      <c r="M282" s="556"/>
      <c r="N282" s="556" t="s">
        <v>401</v>
      </c>
      <c r="O282" s="558"/>
    </row>
    <row r="283" spans="1:15" s="164" customFormat="1" ht="70.5" customHeight="1">
      <c r="A283" s="548"/>
      <c r="B283" s="549" t="s">
        <v>102</v>
      </c>
      <c r="C283" s="549">
        <f>C282+C254+C242+C182+C273</f>
        <v>29</v>
      </c>
      <c r="D283" s="550">
        <f aca="true" t="shared" si="1" ref="D283:L283">D282+D254+D242+D182+D273</f>
        <v>161.74988718491102</v>
      </c>
      <c r="E283" s="549"/>
      <c r="F283" s="549"/>
      <c r="G283" s="549"/>
      <c r="H283" s="549">
        <f t="shared" si="1"/>
        <v>24301</v>
      </c>
      <c r="I283" s="549">
        <f t="shared" si="1"/>
        <v>1059591.6</v>
      </c>
      <c r="J283" s="549"/>
      <c r="K283" s="549">
        <f>K282+K254+K242+K182+K273</f>
        <v>87</v>
      </c>
      <c r="L283" s="549">
        <f t="shared" si="1"/>
        <v>229538</v>
      </c>
      <c r="M283" s="549"/>
      <c r="N283" s="549" t="s">
        <v>403</v>
      </c>
      <c r="O283" s="551"/>
    </row>
    <row r="284" spans="1:15" s="164" customFormat="1" ht="81.75" customHeight="1" thickBot="1">
      <c r="A284" s="577"/>
      <c r="B284" s="578" t="s">
        <v>99</v>
      </c>
      <c r="C284" s="578">
        <f>C283+C165+C161+C112+C99+C71+C67+C53+C31+C24+C15</f>
        <v>110</v>
      </c>
      <c r="D284" s="579">
        <f>D283+D165+D161+D112+D99+D71+D67+D53+D31+D24+D15</f>
        <v>301.7989277051914</v>
      </c>
      <c r="E284" s="578"/>
      <c r="F284" s="578"/>
      <c r="G284" s="578"/>
      <c r="H284" s="578">
        <f>H283+H165+H161+H112+H99+H71+H67+H53+H31+H24+H15</f>
        <v>44006</v>
      </c>
      <c r="I284" s="578">
        <f>I283+I165+I161+I112+I99+I71+I67+I53+I31+I24+I15</f>
        <v>2056646.6</v>
      </c>
      <c r="J284" s="578"/>
      <c r="K284" s="578">
        <f>K283+K165+K161+K112+K99+K71+K67+K53+K31+K24+K15</f>
        <v>171</v>
      </c>
      <c r="L284" s="578">
        <f>L283+L165+L161+L112+L99+L71+L67+L53+L31+L24+L15</f>
        <v>499555.3</v>
      </c>
      <c r="M284" s="578"/>
      <c r="N284" s="578" t="s">
        <v>402</v>
      </c>
      <c r="O284" s="580"/>
    </row>
    <row r="285" spans="2:15" ht="25.5">
      <c r="B285" s="29"/>
      <c r="C285" s="29"/>
      <c r="D285" s="2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</row>
    <row r="286" spans="2:15" ht="33" customHeight="1">
      <c r="B286" s="748"/>
      <c r="C286" s="748"/>
      <c r="D286" s="28"/>
      <c r="E286" s="29"/>
      <c r="F286" s="29"/>
      <c r="G286" s="29"/>
      <c r="H286" s="29"/>
      <c r="I286" s="29"/>
      <c r="K286" s="29"/>
      <c r="L286" s="29"/>
      <c r="M286" s="29"/>
      <c r="N286" s="29"/>
      <c r="O286" s="29"/>
    </row>
    <row r="287" spans="2:15" ht="25.5">
      <c r="B287" s="193"/>
      <c r="C287" s="193"/>
      <c r="D287" s="2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</row>
    <row r="288" spans="2:15" ht="25.5">
      <c r="B288" s="193"/>
      <c r="C288" s="193"/>
      <c r="D288" s="2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</row>
    <row r="289" spans="2:15" ht="25.5">
      <c r="B289" s="193"/>
      <c r="C289" s="193"/>
      <c r="D289" s="2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</row>
    <row r="290" spans="2:11" ht="25.5">
      <c r="B290" s="193"/>
      <c r="C290" s="193"/>
      <c r="D290" s="28"/>
      <c r="E290" s="29"/>
      <c r="F290" s="29"/>
      <c r="G290" s="29"/>
      <c r="H290" s="29"/>
      <c r="I290" s="29"/>
      <c r="J290" s="29"/>
      <c r="K290" s="29"/>
    </row>
    <row r="291" spans="2:11" ht="25.5">
      <c r="B291" s="193"/>
      <c r="C291" s="193"/>
      <c r="D291" s="28"/>
      <c r="E291" s="29"/>
      <c r="F291" s="29"/>
      <c r="G291" s="29"/>
      <c r="H291" s="29"/>
      <c r="I291" s="29"/>
      <c r="J291" s="29"/>
      <c r="K291" s="29"/>
    </row>
    <row r="292" spans="2:11" ht="25.5">
      <c r="B292" s="193"/>
      <c r="C292" s="193"/>
      <c r="D292" s="28"/>
      <c r="E292" s="29"/>
      <c r="F292" s="29"/>
      <c r="G292" s="29"/>
      <c r="H292" s="29"/>
      <c r="I292" s="29"/>
      <c r="J292" s="29"/>
      <c r="K292" s="29"/>
    </row>
    <row r="293" spans="2:11" ht="25.5">
      <c r="B293" s="193"/>
      <c r="C293" s="193"/>
      <c r="D293" s="28"/>
      <c r="E293" s="29"/>
      <c r="F293" s="29"/>
      <c r="G293" s="29"/>
      <c r="H293" s="29"/>
      <c r="I293" s="29"/>
      <c r="J293" s="29"/>
      <c r="K293" s="29"/>
    </row>
    <row r="294" spans="2:11" ht="25.5">
      <c r="B294" s="193"/>
      <c r="C294" s="193"/>
      <c r="D294" s="28"/>
      <c r="E294" s="29"/>
      <c r="F294" s="29"/>
      <c r="G294" s="29"/>
      <c r="H294" s="29"/>
      <c r="I294" s="29"/>
      <c r="J294" s="29"/>
      <c r="K294" s="29"/>
    </row>
    <row r="295" spans="2:11" ht="25.5">
      <c r="B295" s="29"/>
      <c r="C295" s="29"/>
      <c r="D295" s="28"/>
      <c r="E295" s="29"/>
      <c r="F295" s="29"/>
      <c r="G295" s="29"/>
      <c r="H295" s="29"/>
      <c r="I295" s="29"/>
      <c r="J295" s="29"/>
      <c r="K295" s="29"/>
    </row>
    <row r="296" spans="2:11" ht="25.5">
      <c r="B296" s="29"/>
      <c r="C296" s="29"/>
      <c r="D296" s="28"/>
      <c r="E296" s="29"/>
      <c r="F296" s="29"/>
      <c r="G296" s="29"/>
      <c r="H296" s="29"/>
      <c r="I296" s="29"/>
      <c r="J296" s="29"/>
      <c r="K296" s="29"/>
    </row>
    <row r="297" spans="2:11" ht="25.5">
      <c r="B297" s="29"/>
      <c r="C297" s="29"/>
      <c r="D297" s="28"/>
      <c r="E297" s="29"/>
      <c r="F297" s="29"/>
      <c r="G297" s="29"/>
      <c r="H297" s="29"/>
      <c r="I297" s="29"/>
      <c r="J297" s="29"/>
      <c r="K297" s="29"/>
    </row>
    <row r="298" spans="2:11" ht="25.5">
      <c r="B298" s="29"/>
      <c r="C298" s="29"/>
      <c r="D298" s="28"/>
      <c r="E298" s="29"/>
      <c r="F298" s="29"/>
      <c r="G298" s="29"/>
      <c r="H298" s="29"/>
      <c r="I298" s="29"/>
      <c r="J298" s="29"/>
      <c r="K298" s="29"/>
    </row>
    <row r="299" spans="2:11" ht="25.5">
      <c r="B299" s="29"/>
      <c r="C299" s="29"/>
      <c r="D299" s="28"/>
      <c r="E299" s="29"/>
      <c r="F299" s="29"/>
      <c r="G299" s="29"/>
      <c r="H299" s="29"/>
      <c r="I299" s="29"/>
      <c r="J299" s="29"/>
      <c r="K299" s="29"/>
    </row>
    <row r="300" spans="2:11" ht="25.5">
      <c r="B300" s="29"/>
      <c r="C300" s="29"/>
      <c r="D300" s="28"/>
      <c r="E300" s="29"/>
      <c r="F300" s="29"/>
      <c r="G300" s="29"/>
      <c r="H300" s="29"/>
      <c r="I300" s="29"/>
      <c r="J300" s="29"/>
      <c r="K300" s="29"/>
    </row>
    <row r="301" spans="2:11" ht="25.5">
      <c r="B301" s="29"/>
      <c r="C301" s="29"/>
      <c r="D301" s="28"/>
      <c r="E301" s="29"/>
      <c r="F301" s="29"/>
      <c r="G301" s="29"/>
      <c r="H301" s="29"/>
      <c r="I301" s="29"/>
      <c r="J301" s="29"/>
      <c r="K301" s="29"/>
    </row>
    <row r="302" spans="2:11" ht="25.5">
      <c r="B302" s="29"/>
      <c r="C302" s="29"/>
      <c r="D302" s="28"/>
      <c r="E302" s="29"/>
      <c r="F302" s="29"/>
      <c r="G302" s="29"/>
      <c r="H302" s="29"/>
      <c r="I302" s="29"/>
      <c r="J302" s="29"/>
      <c r="K302" s="29"/>
    </row>
    <row r="303" spans="2:11" ht="25.5">
      <c r="B303" s="29"/>
      <c r="C303" s="29"/>
      <c r="D303" s="28"/>
      <c r="E303" s="29"/>
      <c r="F303" s="29"/>
      <c r="G303" s="29"/>
      <c r="H303" s="29"/>
      <c r="I303" s="29"/>
      <c r="J303" s="29"/>
      <c r="K303" s="29"/>
    </row>
    <row r="304" spans="2:11" ht="25.5">
      <c r="B304" s="29"/>
      <c r="C304" s="29"/>
      <c r="D304" s="28"/>
      <c r="E304" s="29"/>
      <c r="F304" s="29"/>
      <c r="G304" s="29"/>
      <c r="H304" s="29"/>
      <c r="I304" s="29"/>
      <c r="J304" s="29"/>
      <c r="K304" s="29"/>
    </row>
    <row r="305" spans="2:11" ht="25.5">
      <c r="B305" s="29"/>
      <c r="C305" s="29"/>
      <c r="D305" s="28"/>
      <c r="E305" s="29"/>
      <c r="F305" s="29"/>
      <c r="G305" s="29"/>
      <c r="H305" s="29"/>
      <c r="I305" s="29"/>
      <c r="J305" s="29"/>
      <c r="K305" s="29"/>
    </row>
    <row r="306" spans="2:11" ht="25.5">
      <c r="B306" s="29"/>
      <c r="C306" s="29"/>
      <c r="D306" s="28"/>
      <c r="E306" s="29"/>
      <c r="F306" s="29"/>
      <c r="G306" s="29"/>
      <c r="H306" s="29"/>
      <c r="I306" s="29"/>
      <c r="J306" s="29"/>
      <c r="K306" s="29"/>
    </row>
    <row r="307" spans="2:11" ht="25.5">
      <c r="B307" s="29"/>
      <c r="C307" s="29"/>
      <c r="D307" s="28"/>
      <c r="E307" s="29"/>
      <c r="F307" s="29"/>
      <c r="G307" s="29"/>
      <c r="H307" s="29"/>
      <c r="I307" s="29"/>
      <c r="J307" s="29"/>
      <c r="K307" s="29"/>
    </row>
  </sheetData>
  <mergeCells count="59">
    <mergeCell ref="A250:A251"/>
    <mergeCell ref="F29:F30"/>
    <mergeCell ref="E55:E66"/>
    <mergeCell ref="F55:F66"/>
    <mergeCell ref="A224:A240"/>
    <mergeCell ref="C244:C245"/>
    <mergeCell ref="A244:A245"/>
    <mergeCell ref="A248:A249"/>
    <mergeCell ref="C250:C251"/>
    <mergeCell ref="A168:A176"/>
    <mergeCell ref="A265:A271"/>
    <mergeCell ref="A275:A281"/>
    <mergeCell ref="C275:C281"/>
    <mergeCell ref="C265:C271"/>
    <mergeCell ref="A256:A260"/>
    <mergeCell ref="C262:C264"/>
    <mergeCell ref="B262:B264"/>
    <mergeCell ref="A262:A264"/>
    <mergeCell ref="A177:A180"/>
    <mergeCell ref="A212:A223"/>
    <mergeCell ref="A192:A210"/>
    <mergeCell ref="A116:A117"/>
    <mergeCell ref="A119:A120"/>
    <mergeCell ref="A135:A137"/>
    <mergeCell ref="A154:A156"/>
    <mergeCell ref="A55:A66"/>
    <mergeCell ref="C101:C111"/>
    <mergeCell ref="B101:B111"/>
    <mergeCell ref="A101:A111"/>
    <mergeCell ref="A1:O1"/>
    <mergeCell ref="A2:A4"/>
    <mergeCell ref="B17:B18"/>
    <mergeCell ref="B19:B22"/>
    <mergeCell ref="A17:A18"/>
    <mergeCell ref="A19:A22"/>
    <mergeCell ref="M19:M22"/>
    <mergeCell ref="M17:M18"/>
    <mergeCell ref="E19:E22"/>
    <mergeCell ref="F19:F22"/>
    <mergeCell ref="B286:C286"/>
    <mergeCell ref="G2:L2"/>
    <mergeCell ref="G3:I3"/>
    <mergeCell ref="J3:L3"/>
    <mergeCell ref="B55:B66"/>
    <mergeCell ref="C55:C66"/>
    <mergeCell ref="C17:C18"/>
    <mergeCell ref="C19:C22"/>
    <mergeCell ref="C177:C180"/>
    <mergeCell ref="D2:D4"/>
    <mergeCell ref="B2:C2"/>
    <mergeCell ref="E17:E18"/>
    <mergeCell ref="F17:F18"/>
    <mergeCell ref="B3:C3"/>
    <mergeCell ref="E2:E4"/>
    <mergeCell ref="F128:F129"/>
    <mergeCell ref="O2:O4"/>
    <mergeCell ref="N2:N4"/>
    <mergeCell ref="F2:F4"/>
    <mergeCell ref="M2:M4"/>
  </mergeCells>
  <printOptions horizontalCentered="1"/>
  <pageMargins left="0" right="0" top="0" bottom="0" header="0.5118110236220472" footer="0.5118110236220472"/>
  <pageSetup fitToHeight="10" fitToWidth="10" horizontalDpi="300" verticalDpi="300" orientation="landscape" paperSize="8" scale="45" r:id="rId1"/>
  <rowBreaks count="8" manualBreakCount="8">
    <brk id="24" max="14" man="1"/>
    <brk id="53" max="14" man="1"/>
    <brk id="84" max="14" man="1"/>
    <brk id="104" max="14" man="1"/>
    <brk id="134" max="14" man="1"/>
    <brk id="161" max="14" man="1"/>
    <brk id="191" max="14" man="1"/>
    <brk id="273" max="14" man="1"/>
  </rowBreaks>
  <colBreaks count="1" manualBreakCount="1">
    <brk id="15" max="28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1"/>
  <sheetViews>
    <sheetView zoomScale="40" zoomScaleNormal="40" workbookViewId="0" topLeftCell="A1">
      <selection activeCell="K9" sqref="K9"/>
    </sheetView>
  </sheetViews>
  <sheetFormatPr defaultColWidth="9.00390625" defaultRowHeight="12.75"/>
  <cols>
    <col min="1" max="1" width="9.125" style="30" customWidth="1"/>
    <col min="2" max="2" width="51.75390625" style="30" customWidth="1"/>
    <col min="3" max="3" width="41.00390625" style="163" customWidth="1"/>
    <col min="4" max="4" width="34.625" style="163" customWidth="1"/>
    <col min="5" max="5" width="32.625" style="163" customWidth="1"/>
    <col min="6" max="6" width="51.75390625" style="163" customWidth="1"/>
    <col min="7" max="7" width="41.75390625" style="215" customWidth="1"/>
    <col min="8" max="8" width="43.375" style="163" customWidth="1"/>
    <col min="9" max="9" width="43.75390625" style="163" customWidth="1"/>
    <col min="10" max="10" width="28.25390625" style="163" customWidth="1"/>
    <col min="11" max="11" width="66.875" style="30" customWidth="1"/>
    <col min="12" max="12" width="58.25390625" style="30" customWidth="1"/>
    <col min="13" max="13" width="23.875" style="30" customWidth="1"/>
    <col min="14" max="16384" width="9.125" style="30" customWidth="1"/>
  </cols>
  <sheetData>
    <row r="4" spans="1:12" s="195" customFormat="1" ht="28.5" customHeight="1" thickBot="1">
      <c r="A4" s="905" t="s">
        <v>470</v>
      </c>
      <c r="B4" s="906"/>
      <c r="C4" s="906"/>
      <c r="D4" s="906"/>
      <c r="E4" s="906"/>
      <c r="F4" s="906"/>
      <c r="G4" s="906"/>
      <c r="H4" s="906"/>
      <c r="I4" s="906"/>
      <c r="J4" s="906"/>
      <c r="K4" s="906"/>
      <c r="L4" s="906"/>
    </row>
    <row r="5" spans="1:12" s="215" customFormat="1" ht="167.25" customHeight="1">
      <c r="A5" s="708" t="s">
        <v>143</v>
      </c>
      <c r="B5" s="911" t="s">
        <v>163</v>
      </c>
      <c r="C5" s="909" t="s">
        <v>269</v>
      </c>
      <c r="D5" s="910"/>
      <c r="E5" s="910"/>
      <c r="F5" s="910"/>
      <c r="G5" s="914" t="s">
        <v>276</v>
      </c>
      <c r="H5" s="907" t="s">
        <v>277</v>
      </c>
      <c r="I5" s="907" t="s">
        <v>278</v>
      </c>
      <c r="J5" s="907" t="s">
        <v>279</v>
      </c>
      <c r="K5" s="907" t="s">
        <v>282</v>
      </c>
      <c r="L5" s="915"/>
    </row>
    <row r="6" spans="1:12" s="215" customFormat="1" ht="237" customHeight="1" thickBot="1">
      <c r="A6" s="913"/>
      <c r="B6" s="912"/>
      <c r="C6" s="230" t="s">
        <v>270</v>
      </c>
      <c r="D6" s="230" t="s">
        <v>272</v>
      </c>
      <c r="E6" s="230" t="s">
        <v>271</v>
      </c>
      <c r="F6" s="230" t="s">
        <v>275</v>
      </c>
      <c r="G6" s="908"/>
      <c r="H6" s="908"/>
      <c r="I6" s="908"/>
      <c r="J6" s="908"/>
      <c r="K6" s="446" t="s">
        <v>281</v>
      </c>
      <c r="L6" s="447" t="s">
        <v>280</v>
      </c>
    </row>
    <row r="7" spans="1:12" s="195" customFormat="1" ht="27" customHeight="1" thickBot="1">
      <c r="A7" s="341">
        <v>1</v>
      </c>
      <c r="B7" s="342">
        <v>2</v>
      </c>
      <c r="C7" s="342">
        <v>3</v>
      </c>
      <c r="D7" s="342">
        <v>4</v>
      </c>
      <c r="E7" s="342">
        <v>5</v>
      </c>
      <c r="F7" s="342">
        <v>6</v>
      </c>
      <c r="G7" s="342">
        <v>7</v>
      </c>
      <c r="H7" s="342">
        <v>8</v>
      </c>
      <c r="I7" s="342">
        <v>9</v>
      </c>
      <c r="J7" s="511">
        <v>10</v>
      </c>
      <c r="K7" s="343">
        <v>11</v>
      </c>
      <c r="L7" s="344">
        <v>12</v>
      </c>
    </row>
    <row r="8" spans="1:12" s="195" customFormat="1" ht="51.75" customHeight="1">
      <c r="A8" s="345">
        <v>1</v>
      </c>
      <c r="B8" s="73" t="s">
        <v>363</v>
      </c>
      <c r="C8" s="348">
        <f>'сравнение затрат до и после Зах'!F16</f>
        <v>1070.761049134811</v>
      </c>
      <c r="D8" s="349">
        <f>'сравнение затрат до и после Зах'!O16</f>
        <v>10.48148148148148</v>
      </c>
      <c r="E8" s="74">
        <f>'сравнение затрат до и после Зах'!R16</f>
        <v>1007.9259259259259</v>
      </c>
      <c r="F8" s="74">
        <f>C8+E8</f>
        <v>2078.6869750607366</v>
      </c>
      <c r="G8" s="346">
        <v>-2816</v>
      </c>
      <c r="H8" s="74">
        <f>'Снижние сверхнормат ТРЭ'!F14</f>
        <v>149.65377</v>
      </c>
      <c r="I8" s="74">
        <v>101</v>
      </c>
      <c r="J8" s="99">
        <f aca="true" t="shared" si="0" ref="J8:J15">F8-G8+H8+I8</f>
        <v>5145.3407450607365</v>
      </c>
      <c r="K8" s="263">
        <f>'загальн.витрати'!K6/'Положит. Эффект '!J8</f>
        <v>3.211934994949478</v>
      </c>
      <c r="L8" s="264">
        <f>'загальн.витрати'!M6/'Положит. Эффект '!J8</f>
        <v>2.724309369298055</v>
      </c>
    </row>
    <row r="9" spans="1:12" s="195" customFormat="1" ht="51.75" customHeight="1">
      <c r="A9" s="339">
        <v>2</v>
      </c>
      <c r="B9" s="69" t="s">
        <v>359</v>
      </c>
      <c r="C9" s="35">
        <f>'сравнение затрат до и после Зах'!F25</f>
        <v>1194.245674054242</v>
      </c>
      <c r="D9" s="34">
        <f>'сравнение затрат до и после Зах'!O25</f>
        <v>6.691111111111109</v>
      </c>
      <c r="E9" s="35">
        <f>'сравнение затрат до и после Зах'!R25</f>
        <v>628.4444444444443</v>
      </c>
      <c r="F9" s="35">
        <f aca="true" t="shared" si="1" ref="F9:F27">C9+E9</f>
        <v>1822.6901184986864</v>
      </c>
      <c r="G9" s="347">
        <v>-4423</v>
      </c>
      <c r="H9" s="35">
        <f>'Снижние сверхнормат ТРЭ'!F23</f>
        <v>282.78973799999994</v>
      </c>
      <c r="I9" s="35">
        <v>122</v>
      </c>
      <c r="J9" s="35">
        <f t="shared" si="0"/>
        <v>6650.479856498687</v>
      </c>
      <c r="K9" s="34" t="e">
        <f>'загальн.витрати'!K7/'Положит. Эффект '!J9</f>
        <v>#REF!</v>
      </c>
      <c r="L9" s="92" t="e">
        <f>'загальн.витрати'!M7/'Положит. Эффект '!J9</f>
        <v>#REF!</v>
      </c>
    </row>
    <row r="10" spans="1:12" s="195" customFormat="1" ht="51.75" customHeight="1">
      <c r="A10" s="339">
        <v>3</v>
      </c>
      <c r="B10" s="69" t="s">
        <v>362</v>
      </c>
      <c r="C10" s="99">
        <f>'сравнение затрат до и после Зах'!F32</f>
        <v>711.4745024542616</v>
      </c>
      <c r="D10" s="34">
        <f>'сравнение затрат до и после Зах'!O32</f>
        <v>6.691111111111109</v>
      </c>
      <c r="E10" s="35">
        <f>'сравнение затрат до и после Зах'!R32</f>
        <v>628.4444444444443</v>
      </c>
      <c r="F10" s="35">
        <f t="shared" si="1"/>
        <v>1339.918946898706</v>
      </c>
      <c r="G10" s="347">
        <v>44</v>
      </c>
      <c r="H10" s="35">
        <f>'Снижние сверхнормат ТРЭ'!F30</f>
        <v>36.84422</v>
      </c>
      <c r="I10" s="35">
        <v>28</v>
      </c>
      <c r="J10" s="35">
        <f t="shared" si="0"/>
        <v>1360.763166898706</v>
      </c>
      <c r="K10" s="34">
        <f>'загальн.витрати'!K8/'Положит. Эффект '!J10</f>
        <v>5.349204165034431</v>
      </c>
      <c r="L10" s="92">
        <f>'загальн.витрати'!M8/'Положит. Эффект '!J10</f>
        <v>4.166779449889439</v>
      </c>
    </row>
    <row r="11" spans="1:12" s="195" customFormat="1" ht="51.75" customHeight="1">
      <c r="A11" s="339">
        <v>4</v>
      </c>
      <c r="B11" s="69" t="s">
        <v>364</v>
      </c>
      <c r="C11" s="35">
        <f>'сравнение затрат до и после Зах'!F54</f>
        <v>1610.6463781050127</v>
      </c>
      <c r="D11" s="34">
        <f>'сравнение затрат до и после Зах'!O54</f>
        <v>35.685925925925915</v>
      </c>
      <c r="E11" s="35">
        <f>'сравнение затрат до и после Зах'!R54</f>
        <v>3351.7037037037026</v>
      </c>
      <c r="F11" s="35">
        <f t="shared" si="1"/>
        <v>4962.350081808715</v>
      </c>
      <c r="G11" s="347">
        <v>406</v>
      </c>
      <c r="H11" s="35">
        <f>'Снижние сверхнормат ТРЭ'!F52</f>
        <v>23.59686</v>
      </c>
      <c r="I11" s="35">
        <v>70</v>
      </c>
      <c r="J11" s="35">
        <f t="shared" si="0"/>
        <v>4649.946941808715</v>
      </c>
      <c r="K11" s="34" t="e">
        <f>'загальн.витрати'!K9/'Положит. Эффект '!J11</f>
        <v>#REF!</v>
      </c>
      <c r="L11" s="92" t="e">
        <f>'загальн.витрати'!M9/'Положит. Эффект '!J11</f>
        <v>#REF!</v>
      </c>
    </row>
    <row r="12" spans="1:12" s="195" customFormat="1" ht="51.75" customHeight="1">
      <c r="A12" s="339">
        <v>5</v>
      </c>
      <c r="B12" s="69" t="s">
        <v>358</v>
      </c>
      <c r="C12" s="35">
        <f>'сравнение затрат до и после Зах'!F68</f>
        <v>4227.418315236254</v>
      </c>
      <c r="D12" s="34">
        <f>'сравнение затрат до и после Зах'!O68</f>
        <v>2.2303703703703697</v>
      </c>
      <c r="E12" s="35">
        <f>'сравнение затрат до и после Зах'!R68</f>
        <v>209.48148148148147</v>
      </c>
      <c r="F12" s="35">
        <f t="shared" si="1"/>
        <v>4436.899796717736</v>
      </c>
      <c r="G12" s="347">
        <v>-1751</v>
      </c>
      <c r="H12" s="35">
        <f>'Снижние сверхнормат ТРЭ'!F66</f>
        <v>450.368842</v>
      </c>
      <c r="I12" s="35">
        <v>42</v>
      </c>
      <c r="J12" s="35">
        <f t="shared" si="0"/>
        <v>6680.2686387177355</v>
      </c>
      <c r="K12" s="34" t="e">
        <f>'загальн.витрати'!K10/'Положит. Эффект '!J12</f>
        <v>#REF!</v>
      </c>
      <c r="L12" s="92" t="e">
        <f>'загальн.витрати'!M10/'Положит. Эффект '!J12</f>
        <v>#REF!</v>
      </c>
    </row>
    <row r="13" spans="1:12" s="195" customFormat="1" ht="51.75" customHeight="1">
      <c r="A13" s="339">
        <v>6</v>
      </c>
      <c r="B13" s="69" t="s">
        <v>357</v>
      </c>
      <c r="C13" s="35">
        <f>'сравнение затрат до и после Зах'!F72</f>
        <v>78.04676483712629</v>
      </c>
      <c r="D13" s="34">
        <f>'сравнение затрат до и после Зах'!O72</f>
        <v>3.2303703703703697</v>
      </c>
      <c r="E13" s="35">
        <f>'сравнение затрат до и после Зах'!R72</f>
        <v>309.48148148148147</v>
      </c>
      <c r="F13" s="35">
        <f t="shared" si="1"/>
        <v>387.5282463186078</v>
      </c>
      <c r="G13" s="347">
        <v>-181</v>
      </c>
      <c r="H13" s="35">
        <f>'Снижние сверхнормат ТРЭ'!F70</f>
        <v>38.50014</v>
      </c>
      <c r="I13" s="35">
        <v>7</v>
      </c>
      <c r="J13" s="35">
        <f t="shared" si="0"/>
        <v>614.0283863186078</v>
      </c>
      <c r="K13" s="34" t="e">
        <f>'загальн.витрати'!K11/'Положит. Эффект '!J13</f>
        <v>#REF!</v>
      </c>
      <c r="L13" s="92" t="e">
        <f>'загальн.витрати'!M11/'Положит. Эффект '!J13</f>
        <v>#REF!</v>
      </c>
    </row>
    <row r="14" spans="1:12" s="195" customFormat="1" ht="51.75" customHeight="1">
      <c r="A14" s="339">
        <v>7</v>
      </c>
      <c r="B14" s="69" t="s">
        <v>365</v>
      </c>
      <c r="C14" s="35">
        <f>'сравнение затрат до и после Зах'!F100</f>
        <v>2796.7930784867867</v>
      </c>
      <c r="D14" s="34">
        <f>'сравнение затрат до и после Зах'!O100</f>
        <v>64.50222222222222</v>
      </c>
      <c r="E14" s="35">
        <f>'сравнение затрат до и после Зах'!R100</f>
        <v>4039.536514262519</v>
      </c>
      <c r="F14" s="35">
        <f t="shared" si="1"/>
        <v>6836.329592749305</v>
      </c>
      <c r="G14" s="347">
        <v>1430</v>
      </c>
      <c r="H14" s="35">
        <f>'Снижние сверхнормат ТРЭ'!F98</f>
        <v>2022.70628</v>
      </c>
      <c r="I14" s="35">
        <v>91</v>
      </c>
      <c r="J14" s="35">
        <f t="shared" si="0"/>
        <v>7520.035872749306</v>
      </c>
      <c r="K14" s="34" t="e">
        <f>'загальн.витрати'!K12/'Положит. Эффект '!J14</f>
        <v>#REF!</v>
      </c>
      <c r="L14" s="92" t="e">
        <f>'загальн.витрати'!M12/'Положит. Эффект '!J14</f>
        <v>#REF!</v>
      </c>
    </row>
    <row r="15" spans="1:12" s="195" customFormat="1" ht="51.75" customHeight="1">
      <c r="A15" s="339">
        <v>8</v>
      </c>
      <c r="B15" s="69" t="s">
        <v>360</v>
      </c>
      <c r="C15" s="35">
        <f>'сравнение затрат до и после Зах'!F113</f>
        <v>2704.490867172393</v>
      </c>
      <c r="D15" s="34">
        <f>'сравнение затрат до и после Зах'!O113</f>
        <v>24.534074074074066</v>
      </c>
      <c r="E15" s="35">
        <f>'сравнение затрат до и после Зах'!R113</f>
        <v>2304.296296296296</v>
      </c>
      <c r="F15" s="35">
        <f t="shared" si="1"/>
        <v>5008.787163468689</v>
      </c>
      <c r="G15" s="347">
        <v>3121</v>
      </c>
      <c r="H15" s="35">
        <f>'Снижние сверхнормат ТРЭ'!F111</f>
        <v>339.67059</v>
      </c>
      <c r="I15" s="35">
        <v>38</v>
      </c>
      <c r="J15" s="35">
        <f t="shared" si="0"/>
        <v>2265.457753468689</v>
      </c>
      <c r="K15" s="34" t="e">
        <f>'загальн.витрати'!K13/'Положит. Эффект '!J15</f>
        <v>#REF!</v>
      </c>
      <c r="L15" s="92" t="e">
        <f>'загальн.витрати'!M13/'Положит. Эффект '!J15</f>
        <v>#REF!</v>
      </c>
    </row>
    <row r="16" spans="1:12" s="333" customFormat="1" ht="56.25" customHeight="1">
      <c r="A16" s="339">
        <v>9</v>
      </c>
      <c r="B16" s="337" t="s">
        <v>354</v>
      </c>
      <c r="C16" s="35"/>
      <c r="D16" s="34"/>
      <c r="E16" s="35"/>
      <c r="F16" s="35"/>
      <c r="G16" s="347"/>
      <c r="H16" s="35"/>
      <c r="I16" s="35"/>
      <c r="J16" s="35"/>
      <c r="K16" s="34"/>
      <c r="L16" s="92"/>
    </row>
    <row r="17" spans="1:12" s="195" customFormat="1" ht="56.25" customHeight="1">
      <c r="A17" s="339">
        <v>10</v>
      </c>
      <c r="B17" s="338" t="s">
        <v>356</v>
      </c>
      <c r="C17" s="35">
        <f>'сравнение затрат до и после Зах'!F122</f>
        <v>253.74705934850516</v>
      </c>
      <c r="D17" s="34">
        <f>'сравнение затрат до и после Зах'!O122</f>
        <v>14.451851851851849</v>
      </c>
      <c r="E17" s="35">
        <f>'сравнение затрат до и после Зах'!R122</f>
        <v>1357.35094775945</v>
      </c>
      <c r="F17" s="35">
        <f t="shared" si="1"/>
        <v>1611.0980071079553</v>
      </c>
      <c r="G17" s="347">
        <v>1056</v>
      </c>
      <c r="H17" s="35">
        <f>'Снижние сверхнормат ТРЭ'!F119</f>
        <v>344.43136</v>
      </c>
      <c r="I17" s="35">
        <v>20</v>
      </c>
      <c r="J17" s="35">
        <f aca="true" t="shared" si="2" ref="J17:J28">F17-G17+H17+I17</f>
        <v>919.5293671079553</v>
      </c>
      <c r="K17" s="34" t="e">
        <f>'загальн.витрати'!K15/'Положит. Эффект '!J17</f>
        <v>#REF!</v>
      </c>
      <c r="L17" s="92" t="e">
        <f>'загальн.витрати'!M15/'Положит. Эффект '!J17</f>
        <v>#REF!</v>
      </c>
    </row>
    <row r="18" spans="1:12" s="195" customFormat="1" ht="56.25" customHeight="1">
      <c r="A18" s="339">
        <v>11</v>
      </c>
      <c r="B18" s="338" t="s">
        <v>759</v>
      </c>
      <c r="C18" s="35">
        <f>'сравнение затрат до и после Зах'!F131</f>
        <v>46.90967326094502</v>
      </c>
      <c r="D18" s="34">
        <f>'сравнение затрат до и после Зах'!O131</f>
        <v>15.612592592592588</v>
      </c>
      <c r="E18" s="35">
        <f>'сравнение затрат до и после Зах'!R131</f>
        <v>1087.4074074074074</v>
      </c>
      <c r="F18" s="35">
        <f t="shared" si="1"/>
        <v>1134.3170806683524</v>
      </c>
      <c r="G18" s="347">
        <v>-60</v>
      </c>
      <c r="H18" s="35">
        <f>'Снижние сверхнормат ТРЭ'!F120</f>
        <v>4.1398</v>
      </c>
      <c r="I18" s="35">
        <v>24</v>
      </c>
      <c r="J18" s="35">
        <f t="shared" si="2"/>
        <v>1222.4568806683524</v>
      </c>
      <c r="K18" s="34" t="e">
        <f>'загальн.витрати'!K16/'Положит. Эффект '!J18</f>
        <v>#REF!</v>
      </c>
      <c r="L18" s="92" t="e">
        <f>'загальн.витрати'!M16/'Положит. Эффект '!J18</f>
        <v>#REF!</v>
      </c>
    </row>
    <row r="19" spans="1:12" s="195" customFormat="1" ht="56.25" customHeight="1">
      <c r="A19" s="339">
        <v>12</v>
      </c>
      <c r="B19" s="338" t="s">
        <v>761</v>
      </c>
      <c r="C19" s="35">
        <f>'сравнение затрат до и после Зах'!F139</f>
        <v>166.09352967425258</v>
      </c>
      <c r="D19" s="34">
        <f>'сравнение затрат до и после Зах'!O139</f>
        <v>44.60740740740738</v>
      </c>
      <c r="E19" s="35">
        <f>'сравнение затрат до и после Зах'!R139</f>
        <v>3052.74074074074</v>
      </c>
      <c r="F19" s="35">
        <f t="shared" si="1"/>
        <v>3218.8342704149927</v>
      </c>
      <c r="G19" s="347">
        <v>-340</v>
      </c>
      <c r="H19" s="35">
        <f>'Снижние сверхнормат ТРЭ'!F133-'Снижние сверхнормат ТРЭ'!F120</f>
        <v>6.623679999999999</v>
      </c>
      <c r="I19" s="35">
        <v>21</v>
      </c>
      <c r="J19" s="35">
        <f t="shared" si="2"/>
        <v>3586.457950414993</v>
      </c>
      <c r="K19" s="34" t="e">
        <f>'загальн.витрати'!K17/'Положит. Эффект '!J19</f>
        <v>#REF!</v>
      </c>
      <c r="L19" s="92" t="e">
        <f>'загальн.витрати'!M17/'Положит. Эффект '!J19</f>
        <v>#REF!</v>
      </c>
    </row>
    <row r="20" spans="1:12" s="195" customFormat="1" ht="56.25" customHeight="1">
      <c r="A20" s="339">
        <v>13</v>
      </c>
      <c r="B20" s="338" t="s">
        <v>768</v>
      </c>
      <c r="C20" s="35">
        <f>'сравнение затрат до и после Зах'!F151</f>
        <v>12.682254945708763</v>
      </c>
      <c r="D20" s="34">
        <f>'сравнение затрат до и после Зах'!O151</f>
        <v>22.303703703703697</v>
      </c>
      <c r="E20" s="35">
        <f>'сравнение затрат до и после Зах'!R151</f>
        <v>2094.814814814815</v>
      </c>
      <c r="F20" s="35">
        <f t="shared" si="1"/>
        <v>2107.4970697605236</v>
      </c>
      <c r="G20" s="347">
        <v>-988</v>
      </c>
      <c r="H20" s="35">
        <f>'Снижние сверхнормат ТРЭ'!F144</f>
        <v>19.87104</v>
      </c>
      <c r="I20" s="35">
        <v>35</v>
      </c>
      <c r="J20" s="35">
        <f t="shared" si="2"/>
        <v>3150.3681097605236</v>
      </c>
      <c r="K20" s="34" t="e">
        <f>'загальн.витрати'!K18/'Положит. Эффект '!J20</f>
        <v>#REF!</v>
      </c>
      <c r="L20" s="92" t="e">
        <f>'загальн.витрати'!M18/'Положит. Эффект '!J20</f>
        <v>#REF!</v>
      </c>
    </row>
    <row r="21" spans="1:12" s="195" customFormat="1" ht="56.25" customHeight="1">
      <c r="A21" s="339">
        <v>14</v>
      </c>
      <c r="B21" s="338" t="s">
        <v>355</v>
      </c>
      <c r="C21" s="35">
        <f>'сравнение затрат до и после Зах'!F161</f>
        <v>940</v>
      </c>
      <c r="D21" s="34">
        <f>'сравнение затрат до и после Зах'!O161</f>
        <v>9.05</v>
      </c>
      <c r="E21" s="35">
        <f>'сравнение затрат до и после Зах'!R161</f>
        <v>452</v>
      </c>
      <c r="F21" s="35">
        <f t="shared" si="1"/>
        <v>1392</v>
      </c>
      <c r="G21" s="347">
        <v>-2160</v>
      </c>
      <c r="H21" s="35">
        <f>'Снижние сверхнормат ТРЭ'!F153</f>
        <v>2230.73123</v>
      </c>
      <c r="I21" s="35">
        <v>28</v>
      </c>
      <c r="J21" s="35">
        <f t="shared" si="2"/>
        <v>5810.731229999999</v>
      </c>
      <c r="K21" s="34" t="e">
        <f>'загальн.витрати'!K19/'Положит. Эффект '!J21</f>
        <v>#REF!</v>
      </c>
      <c r="L21" s="92" t="e">
        <f>'загальн.витрати'!M19/'Положит. Эффект '!J21</f>
        <v>#REF!</v>
      </c>
    </row>
    <row r="22" spans="1:12" s="195" customFormat="1" ht="51.75" customHeight="1">
      <c r="A22" s="339">
        <v>15</v>
      </c>
      <c r="B22" s="69" t="s">
        <v>361</v>
      </c>
      <c r="C22" s="35">
        <f>'сравнение затрат до и после Зах'!F166</f>
        <v>211.3709157618127</v>
      </c>
      <c r="D22" s="34">
        <f>'сравнение затрат до и после Зах'!O166</f>
        <v>4.460740740740739</v>
      </c>
      <c r="E22" s="35">
        <f>'сравнение затрат до и после Зах'!R166</f>
        <v>418.96296296296293</v>
      </c>
      <c r="F22" s="35">
        <f t="shared" si="1"/>
        <v>630.3338787247757</v>
      </c>
      <c r="G22" s="347">
        <v>244</v>
      </c>
      <c r="H22" s="35">
        <v>0</v>
      </c>
      <c r="I22" s="35">
        <v>7</v>
      </c>
      <c r="J22" s="35">
        <f t="shared" si="2"/>
        <v>393.3338787247757</v>
      </c>
      <c r="K22" s="34" t="e">
        <f>'загальн.витрати'!K20/'Положит. Эффект '!J22</f>
        <v>#REF!</v>
      </c>
      <c r="L22" s="92" t="e">
        <f>'загальн.витрати'!M20/'Положит. Эффект '!J22</f>
        <v>#REF!</v>
      </c>
    </row>
    <row r="23" spans="1:12" s="195" customFormat="1" ht="51" customHeight="1">
      <c r="A23" s="339">
        <v>16</v>
      </c>
      <c r="B23" s="69" t="s">
        <v>350</v>
      </c>
      <c r="C23" s="35">
        <f>'сравнение затрат до и после Зах'!F243</f>
        <v>15719.655005206014</v>
      </c>
      <c r="D23" s="34">
        <f>'сравнение затрат до и после Зах'!O243</f>
        <v>129.3614814814813</v>
      </c>
      <c r="E23" s="35">
        <f>'сравнение затрат до и после Зах'!R243</f>
        <v>12149.925925925934</v>
      </c>
      <c r="F23" s="35">
        <f t="shared" si="1"/>
        <v>27869.580931131946</v>
      </c>
      <c r="G23" s="347">
        <v>18142</v>
      </c>
      <c r="H23" s="35">
        <f>'Снижние сверхнормат ТРЭ'!F233</f>
        <v>2325.7292905</v>
      </c>
      <c r="I23" s="35">
        <v>202</v>
      </c>
      <c r="J23" s="35">
        <f t="shared" si="2"/>
        <v>12255.310221631946</v>
      </c>
      <c r="K23" s="34" t="e">
        <f>'загальн.витрати'!K21/'Положит. Эффект '!J23</f>
        <v>#REF!</v>
      </c>
      <c r="L23" s="92" t="e">
        <f>'загальн.витрати'!M21/'Положит. Эффект '!J23</f>
        <v>#REF!</v>
      </c>
    </row>
    <row r="24" spans="1:12" s="195" customFormat="1" ht="51" customHeight="1">
      <c r="A24" s="339">
        <v>17</v>
      </c>
      <c r="B24" s="338" t="s">
        <v>793</v>
      </c>
      <c r="C24" s="35">
        <f>'сравнение затрат до и после Зах'!F183</f>
        <v>2452</v>
      </c>
      <c r="D24" s="34">
        <f>'сравнение затрат до и после Зах'!O183</f>
        <v>9.3</v>
      </c>
      <c r="E24" s="35">
        <f>'сравнение затрат до и после Зах'!R183</f>
        <v>1233</v>
      </c>
      <c r="F24" s="35">
        <f t="shared" si="1"/>
        <v>3685</v>
      </c>
      <c r="G24" s="347">
        <v>-2494</v>
      </c>
      <c r="H24" s="35">
        <f>'Снижние сверхнормат ТРЭ'!F174</f>
        <v>638.97813</v>
      </c>
      <c r="I24" s="35">
        <v>49</v>
      </c>
      <c r="J24" s="35">
        <f t="shared" si="2"/>
        <v>6866.9781299999995</v>
      </c>
      <c r="K24" s="34" t="e">
        <f>'загальн.витрати'!K22/'Положит. Эффект '!J24</f>
        <v>#REF!</v>
      </c>
      <c r="L24" s="92" t="e">
        <f>'загальн.витрати'!M22/'Положит. Эффект '!J24</f>
        <v>#REF!</v>
      </c>
    </row>
    <row r="25" spans="1:12" s="195" customFormat="1" ht="51" customHeight="1">
      <c r="A25" s="339">
        <v>18</v>
      </c>
      <c r="B25" s="338" t="s">
        <v>351</v>
      </c>
      <c r="C25" s="35">
        <f>'сравнение затрат до и после Зах'!F255</f>
        <v>7040</v>
      </c>
      <c r="D25" s="34">
        <f>'сравнение затрат до и после Зах'!O255</f>
        <v>21.710000000000004</v>
      </c>
      <c r="E25" s="35">
        <f>'сравнение затрат до и после Зах'!R255</f>
        <v>4987</v>
      </c>
      <c r="F25" s="35">
        <f t="shared" si="1"/>
        <v>12027</v>
      </c>
      <c r="G25" s="347">
        <v>-1821</v>
      </c>
      <c r="H25" s="35">
        <f>'Снижние сверхнормат ТРЭ'!F245</f>
        <v>1161.42089</v>
      </c>
      <c r="I25" s="35">
        <v>35</v>
      </c>
      <c r="J25" s="35">
        <f t="shared" si="2"/>
        <v>15044.42089</v>
      </c>
      <c r="K25" s="34" t="e">
        <f>'загальн.витрати'!K23/'Положит. Эффект '!J25</f>
        <v>#REF!</v>
      </c>
      <c r="L25" s="92" t="e">
        <f>'загальн.витрати'!M23/'Положит. Эффект '!J25</f>
        <v>#REF!</v>
      </c>
    </row>
    <row r="26" spans="1:12" s="195" customFormat="1" ht="51" customHeight="1">
      <c r="A26" s="339">
        <v>19</v>
      </c>
      <c r="B26" s="338" t="s">
        <v>352</v>
      </c>
      <c r="C26" s="35">
        <f>'сравнение затрат до и после Зах'!F274</f>
        <v>5189</v>
      </c>
      <c r="D26" s="34">
        <f>'сравнение затрат до и после Зах'!O274</f>
        <v>19.4</v>
      </c>
      <c r="E26" s="35">
        <f>'сравнение затрат до и после Зах'!R274</f>
        <v>2310</v>
      </c>
      <c r="F26" s="35">
        <f t="shared" si="1"/>
        <v>7499</v>
      </c>
      <c r="G26" s="347">
        <v>-5910</v>
      </c>
      <c r="H26" s="35">
        <f>'Снижние сверхнормат ТРЭ'!F271-'Снижние сверхнормат ТРЭ'!F264</f>
        <v>522.0287800000001</v>
      </c>
      <c r="I26" s="35">
        <v>56</v>
      </c>
      <c r="J26" s="35">
        <f t="shared" si="2"/>
        <v>13987.02878</v>
      </c>
      <c r="K26" s="34" t="e">
        <f>'загальн.витрати'!K24/'Положит. Эффект '!J26</f>
        <v>#REF!</v>
      </c>
      <c r="L26" s="92" t="e">
        <f>'загальн.витрати'!M24/'Положит. Эффект '!J26</f>
        <v>#REF!</v>
      </c>
    </row>
    <row r="27" spans="1:12" s="195" customFormat="1" ht="51" customHeight="1">
      <c r="A27" s="339">
        <v>20</v>
      </c>
      <c r="B27" s="338" t="s">
        <v>453</v>
      </c>
      <c r="C27" s="35">
        <f>'сравнение затрат до и после Зах'!F283</f>
        <v>224</v>
      </c>
      <c r="D27" s="34">
        <f>'сравнение затрат до и после Зах'!O283</f>
        <v>3.6</v>
      </c>
      <c r="E27" s="35">
        <f>'сравнение затрат до и после Зах'!R283</f>
        <v>300</v>
      </c>
      <c r="F27" s="35">
        <f t="shared" si="1"/>
        <v>524</v>
      </c>
      <c r="G27" s="347">
        <v>-4061</v>
      </c>
      <c r="H27" s="35">
        <f>'Снижние сверхнормат ТРЭ'!F264</f>
        <v>79.48416</v>
      </c>
      <c r="I27" s="35">
        <v>24</v>
      </c>
      <c r="J27" s="35">
        <f t="shared" si="2"/>
        <v>4688.48416</v>
      </c>
      <c r="K27" s="34" t="e">
        <f>'загальн.витрати'!K25/'Положит. Эффект '!J27</f>
        <v>#REF!</v>
      </c>
      <c r="L27" s="92" t="e">
        <f>'загальн.витрати'!M25/'Положит. Эффект '!J27</f>
        <v>#REF!</v>
      </c>
    </row>
    <row r="28" spans="1:12" s="195" customFormat="1" ht="60.75" customHeight="1" thickBot="1">
      <c r="A28" s="334">
        <v>21</v>
      </c>
      <c r="B28" s="340" t="s">
        <v>534</v>
      </c>
      <c r="C28" s="64">
        <f>SUM(C8:C27)</f>
        <v>46649.33506767813</v>
      </c>
      <c r="D28" s="94">
        <f>SUM(D8:D27)</f>
        <v>447.90444444444415</v>
      </c>
      <c r="E28" s="64">
        <f>SUM(E8:E27)</f>
        <v>41922.51709165161</v>
      </c>
      <c r="F28" s="64">
        <f>SUM(F8:F27)</f>
        <v>88571.85215932972</v>
      </c>
      <c r="G28" s="64">
        <v>-2561</v>
      </c>
      <c r="H28" s="64">
        <f>SUM(H8:H27)</f>
        <v>10677.5688005</v>
      </c>
      <c r="I28" s="64">
        <f>SUM(I8:I27)</f>
        <v>1000</v>
      </c>
      <c r="J28" s="448">
        <f t="shared" si="2"/>
        <v>102810.42095982972</v>
      </c>
      <c r="K28" s="444" t="e">
        <f>'загальн.витрати'!K26/'Положит. Эффект '!J28</f>
        <v>#REF!</v>
      </c>
      <c r="L28" s="445" t="e">
        <f>'загальн.витрати'!M26/'Положит. Эффект '!J28</f>
        <v>#REF!</v>
      </c>
    </row>
    <row r="29" spans="2:10" ht="25.5">
      <c r="B29" s="201"/>
      <c r="C29" s="211"/>
      <c r="D29" s="211"/>
      <c r="E29" s="211"/>
      <c r="F29" s="211"/>
      <c r="G29" s="335"/>
      <c r="H29" s="211"/>
      <c r="I29" s="211"/>
      <c r="J29" s="211"/>
    </row>
    <row r="30" spans="2:10" ht="25.5">
      <c r="B30" s="201"/>
      <c r="C30" s="211"/>
      <c r="D30" s="211"/>
      <c r="E30" s="211"/>
      <c r="F30" s="211"/>
      <c r="G30" s="335"/>
      <c r="H30" s="211"/>
      <c r="I30" s="211"/>
      <c r="J30" s="211"/>
    </row>
    <row r="31" spans="2:12" ht="20.25"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</row>
  </sheetData>
  <mergeCells count="9">
    <mergeCell ref="A4:L4"/>
    <mergeCell ref="J5:J6"/>
    <mergeCell ref="I5:I6"/>
    <mergeCell ref="C5:F5"/>
    <mergeCell ref="B5:B6"/>
    <mergeCell ref="H5:H6"/>
    <mergeCell ref="A5:A6"/>
    <mergeCell ref="G5:G6"/>
    <mergeCell ref="K5:L5"/>
  </mergeCells>
  <printOptions/>
  <pageMargins left="0" right="0" top="0" bottom="0" header="0.5118110236220472" footer="0.5118110236220472"/>
  <pageSetup fitToHeight="1" fitToWidth="1" horizontalDpi="600" verticalDpi="600" orientation="landscape" paperSize="9" scale="2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9"/>
  <sheetViews>
    <sheetView zoomScale="50" zoomScaleNormal="50" workbookViewId="0" topLeftCell="A1">
      <selection activeCell="C4" sqref="C4"/>
    </sheetView>
  </sheetViews>
  <sheetFormatPr defaultColWidth="9.00390625" defaultRowHeight="12.75"/>
  <cols>
    <col min="1" max="1" width="9.125" style="30" customWidth="1"/>
    <col min="2" max="2" width="51.75390625" style="30" customWidth="1"/>
    <col min="3" max="3" width="62.875" style="30" customWidth="1"/>
    <col min="4" max="4" width="51.75390625" style="30" customWidth="1"/>
    <col min="5" max="5" width="48.625" style="30" customWidth="1"/>
    <col min="6" max="6" width="46.25390625" style="30" customWidth="1"/>
    <col min="7" max="8" width="40.625" style="30" customWidth="1"/>
    <col min="9" max="12" width="10.75390625" style="30" bestFit="1" customWidth="1"/>
    <col min="13" max="16384" width="9.125" style="30" customWidth="1"/>
  </cols>
  <sheetData>
    <row r="2" spans="1:8" s="195" customFormat="1" ht="28.5" customHeight="1" thickBot="1">
      <c r="A2" s="752" t="s">
        <v>471</v>
      </c>
      <c r="B2" s="875"/>
      <c r="C2" s="875"/>
      <c r="D2" s="875"/>
      <c r="E2" s="875"/>
      <c r="F2" s="875"/>
      <c r="G2" s="875"/>
      <c r="H2" s="875"/>
    </row>
    <row r="3" spans="1:8" s="215" customFormat="1" ht="224.25" customHeight="1">
      <c r="A3" s="918" t="s">
        <v>143</v>
      </c>
      <c r="B3" s="920" t="s">
        <v>163</v>
      </c>
      <c r="C3" s="790" t="s">
        <v>141</v>
      </c>
      <c r="D3" s="922"/>
      <c r="E3" s="916" t="s">
        <v>268</v>
      </c>
      <c r="F3" s="923"/>
      <c r="G3" s="916" t="s">
        <v>267</v>
      </c>
      <c r="H3" s="917"/>
    </row>
    <row r="4" spans="1:8" s="215" customFormat="1" ht="159" customHeight="1">
      <c r="A4" s="919"/>
      <c r="B4" s="921"/>
      <c r="C4" s="266" t="s">
        <v>839</v>
      </c>
      <c r="D4" s="266" t="s">
        <v>845</v>
      </c>
      <c r="E4" s="268" t="s">
        <v>266</v>
      </c>
      <c r="F4" s="350" t="s">
        <v>263</v>
      </c>
      <c r="G4" s="268" t="s">
        <v>349</v>
      </c>
      <c r="H4" s="295" t="s">
        <v>844</v>
      </c>
    </row>
    <row r="5" spans="1:8" s="195" customFormat="1" ht="27" customHeight="1" thickBot="1">
      <c r="A5" s="352">
        <v>1</v>
      </c>
      <c r="B5" s="353">
        <v>2</v>
      </c>
      <c r="C5" s="353">
        <v>11</v>
      </c>
      <c r="D5" s="353">
        <v>12</v>
      </c>
      <c r="E5" s="301">
        <v>13</v>
      </c>
      <c r="F5" s="354">
        <v>14</v>
      </c>
      <c r="G5" s="301">
        <v>23</v>
      </c>
      <c r="H5" s="302">
        <v>24</v>
      </c>
    </row>
    <row r="6" spans="1:8" s="195" customFormat="1" ht="27" customHeight="1">
      <c r="A6" s="345">
        <v>1</v>
      </c>
      <c r="B6" s="73" t="s">
        <v>363</v>
      </c>
      <c r="C6" s="263">
        <f>'загальн.витрати'!K6/'Положит. Эффект '!J8</f>
        <v>3.211934994949478</v>
      </c>
      <c r="D6" s="263">
        <f>'загальн.витрати'!M6/'Положит. Эффект '!J8</f>
        <v>2.724309369298055</v>
      </c>
      <c r="E6" s="194">
        <f>'загальн.витрати'!S6</f>
        <v>375.14157885424953</v>
      </c>
      <c r="F6" s="356">
        <f>'загальн.витрати'!T6</f>
        <v>3.1261798237854133</v>
      </c>
      <c r="G6" s="194">
        <f>'загальн.витрати'!W6</f>
        <v>495.84682297721514</v>
      </c>
      <c r="H6" s="277">
        <f>G6*0.1/12</f>
        <v>4.13205685814346</v>
      </c>
    </row>
    <row r="7" spans="1:8" s="195" customFormat="1" ht="27" customHeight="1">
      <c r="A7" s="339">
        <v>2</v>
      </c>
      <c r="B7" s="338" t="s">
        <v>351</v>
      </c>
      <c r="C7" s="34" t="e">
        <f>'загальн.витрати'!K23/'Положит. Эффект '!J25</f>
        <v>#REF!</v>
      </c>
      <c r="D7" s="34" t="e">
        <f>'загальн.витрати'!M23/'Положит. Эффект '!J25</f>
        <v>#REF!</v>
      </c>
      <c r="E7" s="36">
        <f>'загальн.витрати'!S23</f>
        <v>258.81134682615925</v>
      </c>
      <c r="F7" s="355">
        <f>'загальн.витрати'!T23</f>
        <v>3.2351418353269903</v>
      </c>
      <c r="G7" s="36" t="e">
        <f>'загальн.витрати'!W23</f>
        <v>#REF!</v>
      </c>
      <c r="H7" s="255" t="e">
        <f>G7*0.15/12</f>
        <v>#REF!</v>
      </c>
    </row>
    <row r="8" spans="1:8" s="195" customFormat="1" ht="51.75" customHeight="1">
      <c r="A8" s="339">
        <v>3</v>
      </c>
      <c r="B8" s="69" t="s">
        <v>358</v>
      </c>
      <c r="C8" s="34" t="e">
        <f>'загальн.витрати'!K10/'Положит. Эффект '!J12</f>
        <v>#REF!</v>
      </c>
      <c r="D8" s="34" t="e">
        <f>'загальн.витрати'!M10/'Положит. Эффект '!J12</f>
        <v>#REF!</v>
      </c>
      <c r="E8" s="36">
        <f>'загальн.витрати'!S10</f>
        <v>273.94808879999994</v>
      </c>
      <c r="F8" s="355">
        <f>'загальн.витрати'!T10</f>
        <v>3.4243511099999995</v>
      </c>
      <c r="G8" s="36" t="e">
        <f>'загальн.витрати'!W10</f>
        <v>#REF!</v>
      </c>
      <c r="H8" s="255" t="e">
        <f>G8*0.15/12</f>
        <v>#REF!</v>
      </c>
    </row>
    <row r="9" spans="1:8" s="195" customFormat="1" ht="51.75" customHeight="1">
      <c r="A9" s="339">
        <v>4</v>
      </c>
      <c r="B9" s="338" t="s">
        <v>352</v>
      </c>
      <c r="C9" s="34" t="e">
        <f>'загальн.витрати'!K24/'Положит. Эффект '!J26</f>
        <v>#REF!</v>
      </c>
      <c r="D9" s="34" t="e">
        <f>'загальн.витрати'!M24/'Положит. Эффект '!J26</f>
        <v>#REF!</v>
      </c>
      <c r="E9" s="36">
        <f>'загальн.витрати'!S24</f>
        <v>273.97811883003</v>
      </c>
      <c r="F9" s="355">
        <f>'загальн.витрати'!T24</f>
        <v>3.4247264853753747</v>
      </c>
      <c r="G9" s="36" t="e">
        <f>'загальн.витрати'!W24</f>
        <v>#REF!</v>
      </c>
      <c r="H9" s="255" t="e">
        <f>G9*0.15/12</f>
        <v>#REF!</v>
      </c>
    </row>
    <row r="10" spans="1:8" s="195" customFormat="1" ht="51.75" customHeight="1">
      <c r="A10" s="339">
        <v>5</v>
      </c>
      <c r="B10" s="338" t="s">
        <v>793</v>
      </c>
      <c r="C10" s="34" t="e">
        <f>'загальн.витрати'!K22/'Положит. Эффект '!J24</f>
        <v>#REF!</v>
      </c>
      <c r="D10" s="34" t="e">
        <f>'загальн.витрати'!M22/'Положит. Эффект '!J24</f>
        <v>#REF!</v>
      </c>
      <c r="E10" s="36">
        <f>'загальн.витрати'!S22</f>
        <v>276.5063991752876</v>
      </c>
      <c r="F10" s="355">
        <f>'загальн.витрати'!T22</f>
        <v>3.456329989691095</v>
      </c>
      <c r="G10" s="36" t="e">
        <f>'загальн.витрати'!W22</f>
        <v>#REF!</v>
      </c>
      <c r="H10" s="255" t="e">
        <f>G10*0.15/12</f>
        <v>#REF!</v>
      </c>
    </row>
    <row r="11" spans="1:8" s="195" customFormat="1" ht="51.75" customHeight="1">
      <c r="A11" s="339">
        <v>6</v>
      </c>
      <c r="B11" s="69" t="s">
        <v>350</v>
      </c>
      <c r="C11" s="34" t="e">
        <f>'загальн.витрати'!K21/'Положит. Эффект '!J23</f>
        <v>#REF!</v>
      </c>
      <c r="D11" s="34" t="e">
        <f>'загальн.витрати'!M21/'Положит. Эффект '!J23</f>
        <v>#REF!</v>
      </c>
      <c r="E11" s="36">
        <f>'загальн.витрати'!S21</f>
        <v>282.9557531807987</v>
      </c>
      <c r="F11" s="355">
        <f>'загальн.витрати'!T21</f>
        <v>3.5369469147599837</v>
      </c>
      <c r="G11" s="36" t="e">
        <f>'загальн.витрати'!W21</f>
        <v>#REF!</v>
      </c>
      <c r="H11" s="255" t="e">
        <f>G11*0.15/12</f>
        <v>#REF!</v>
      </c>
    </row>
    <row r="12" spans="1:8" s="195" customFormat="1" ht="51.75" customHeight="1">
      <c r="A12" s="339">
        <v>7</v>
      </c>
      <c r="B12" s="336" t="s">
        <v>142</v>
      </c>
      <c r="C12" s="34" t="e">
        <f>'загальн.витрати'!K26/'Положит. Эффект '!J28</f>
        <v>#REF!</v>
      </c>
      <c r="D12" s="34" t="e">
        <f>'загальн.витрати'!M26/'Положит. Эффект '!J28</f>
        <v>#REF!</v>
      </c>
      <c r="E12" s="36">
        <f>'загальн.витрати'!S26</f>
        <v>291.51618997462134</v>
      </c>
      <c r="F12" s="355">
        <f>'загальн.витрати'!T26</f>
        <v>3.771598274566228</v>
      </c>
      <c r="G12" s="36" t="e">
        <f>'загальн.витрати'!W26</f>
        <v>#REF!</v>
      </c>
      <c r="H12" s="255" t="e">
        <f>G12*0.2/12</f>
        <v>#REF!</v>
      </c>
    </row>
    <row r="13" spans="1:8" s="195" customFormat="1" ht="51.75" customHeight="1">
      <c r="A13" s="339">
        <v>8</v>
      </c>
      <c r="B13" s="338" t="s">
        <v>453</v>
      </c>
      <c r="C13" s="34" t="e">
        <f>'загальн.витрати'!K25/'Положит. Эффект '!J27</f>
        <v>#REF!</v>
      </c>
      <c r="D13" s="34" t="e">
        <f>'загальн.витрати'!M25/'Положит. Эффект '!J27</f>
        <v>#REF!</v>
      </c>
      <c r="E13" s="36">
        <f>'загальн.витрати'!S25</f>
        <v>306.44808879999994</v>
      </c>
      <c r="F13" s="355">
        <f>'загальн.витрати'!T25</f>
        <v>3.8306011099999995</v>
      </c>
      <c r="G13" s="36" t="e">
        <f>'загальн.витрати'!W25</f>
        <v>#REF!</v>
      </c>
      <c r="H13" s="255" t="e">
        <f>G13*0.15/12</f>
        <v>#REF!</v>
      </c>
    </row>
    <row r="14" spans="1:8" s="195" customFormat="1" ht="51.75" customHeight="1">
      <c r="A14" s="339">
        <v>9</v>
      </c>
      <c r="B14" s="69" t="s">
        <v>361</v>
      </c>
      <c r="C14" s="34" t="e">
        <f>'загальн.витрати'!K20/'Положит. Эффект '!J22</f>
        <v>#REF!</v>
      </c>
      <c r="D14" s="34" t="e">
        <f>'загальн.витрати'!M20/'Положит. Эффект '!J22</f>
        <v>#REF!</v>
      </c>
      <c r="E14" s="36">
        <f>'загальн.витрати'!S20</f>
        <v>343.94808879999994</v>
      </c>
      <c r="F14" s="355">
        <f>'загальн.витрати'!T20</f>
        <v>4.299351109999999</v>
      </c>
      <c r="G14" s="36" t="e">
        <f>'загальн.витрати'!W20</f>
        <v>#REF!</v>
      </c>
      <c r="H14" s="255" t="e">
        <f>G14*0.15/12</f>
        <v>#REF!</v>
      </c>
    </row>
    <row r="15" spans="1:8" s="195" customFormat="1" ht="51.75" customHeight="1">
      <c r="A15" s="339">
        <v>10</v>
      </c>
      <c r="B15" s="69" t="s">
        <v>365</v>
      </c>
      <c r="C15" s="34" t="e">
        <f>'загальн.витрати'!K12/'Положит. Эффект '!J14</f>
        <v>#REF!</v>
      </c>
      <c r="D15" s="34" t="e">
        <f>'загальн.витрати'!M12/'Положит. Эффект '!J14</f>
        <v>#REF!</v>
      </c>
      <c r="E15" s="36">
        <f>'загальн.витрати'!S12</f>
        <v>262.80316126376806</v>
      </c>
      <c r="F15" s="355">
        <f>'загальн.витрати'!T12</f>
        <v>4.380052687729468</v>
      </c>
      <c r="G15" s="36" t="e">
        <f>'загальн.витрати'!W12</f>
        <v>#REF!</v>
      </c>
      <c r="H15" s="255" t="e">
        <f>G15*0.2/12</f>
        <v>#REF!</v>
      </c>
    </row>
    <row r="16" spans="1:8" s="333" customFormat="1" ht="56.25" customHeight="1">
      <c r="A16" s="339">
        <v>11</v>
      </c>
      <c r="B16" s="338" t="s">
        <v>355</v>
      </c>
      <c r="C16" s="34" t="e">
        <f>'загальн.витрати'!K19/'Положит. Эффект '!J21</f>
        <v>#REF!</v>
      </c>
      <c r="D16" s="34" t="e">
        <f>'загальн.витрати'!M19/'Положит. Эффект '!J21</f>
        <v>#REF!</v>
      </c>
      <c r="E16" s="36">
        <f>'загальн.витрати'!S19</f>
        <v>366.9493188123001</v>
      </c>
      <c r="F16" s="355">
        <f>'загальн.витрати'!T19</f>
        <v>4.586866485153751</v>
      </c>
      <c r="G16" s="36" t="e">
        <f>'загальн.витрати'!W19</f>
        <v>#REF!</v>
      </c>
      <c r="H16" s="255" t="e">
        <f>G16*0.15/12</f>
        <v>#REF!</v>
      </c>
    </row>
    <row r="17" spans="1:8" s="195" customFormat="1" ht="56.25" customHeight="1">
      <c r="A17" s="339">
        <v>12</v>
      </c>
      <c r="B17" s="69" t="s">
        <v>364</v>
      </c>
      <c r="C17" s="34" t="e">
        <f>'загальн.витрати'!K9/'Положит. Эффект '!J11</f>
        <v>#REF!</v>
      </c>
      <c r="D17" s="34" t="e">
        <f>'загальн.витрати'!M9/'Положит. Эффект '!J11</f>
        <v>#REF!</v>
      </c>
      <c r="E17" s="36">
        <f>'загальн.витрати'!S9</f>
        <v>370.0514935919293</v>
      </c>
      <c r="F17" s="355">
        <f>'загальн.витрати'!T9</f>
        <v>4.625643669899116</v>
      </c>
      <c r="G17" s="36" t="e">
        <f>'загальн.витрати'!W9</f>
        <v>#REF!</v>
      </c>
      <c r="H17" s="255" t="e">
        <f>G17*0.15/12</f>
        <v>#REF!</v>
      </c>
    </row>
    <row r="18" spans="1:8" s="195" customFormat="1" ht="56.25" customHeight="1">
      <c r="A18" s="339">
        <v>13</v>
      </c>
      <c r="B18" s="69" t="s">
        <v>360</v>
      </c>
      <c r="C18" s="34" t="e">
        <f>'загальн.витрати'!K13/'Положит. Эффект '!J15</f>
        <v>#REF!</v>
      </c>
      <c r="D18" s="34" t="e">
        <f>'загальн.витрати'!M13/'Положит. Эффект '!J15</f>
        <v>#REF!</v>
      </c>
      <c r="E18" s="36">
        <f>'загальн.витрати'!S13</f>
        <v>286.93363002704183</v>
      </c>
      <c r="F18" s="355">
        <f>'загальн.витрати'!T13</f>
        <v>4.782227167117364</v>
      </c>
      <c r="G18" s="36" t="e">
        <f>'загальн.витрати'!W13</f>
        <v>#REF!</v>
      </c>
      <c r="H18" s="255" t="e">
        <f>G18*0.2/12</f>
        <v>#REF!</v>
      </c>
    </row>
    <row r="19" spans="1:8" s="195" customFormat="1" ht="56.25" customHeight="1">
      <c r="A19" s="339">
        <v>14</v>
      </c>
      <c r="B19" s="338" t="s">
        <v>356</v>
      </c>
      <c r="C19" s="34" t="e">
        <f>'загальн.витрати'!K15/'Положит. Эффект '!J17</f>
        <v>#REF!</v>
      </c>
      <c r="D19" s="34" t="e">
        <f>'загальн.витрати'!M15/'Положит. Эффект '!J17</f>
        <v>#REF!</v>
      </c>
      <c r="E19" s="36">
        <f>'загальн.витрати'!S15</f>
        <v>313.232153465127</v>
      </c>
      <c r="F19" s="355">
        <f>'загальн.витрати'!T15</f>
        <v>5.22053589108545</v>
      </c>
      <c r="G19" s="36" t="e">
        <f>'загальн.витрати'!W15</f>
        <v>#REF!</v>
      </c>
      <c r="H19" s="255" t="e">
        <f>G19*0.2/12</f>
        <v>#REF!</v>
      </c>
    </row>
    <row r="20" spans="1:8" s="195" customFormat="1" ht="56.25" customHeight="1">
      <c r="A20" s="339">
        <v>15</v>
      </c>
      <c r="B20" s="69" t="s">
        <v>362</v>
      </c>
      <c r="C20" s="34">
        <f>'загальн.витрати'!K8/'Положит. Эффект '!J10</f>
        <v>5.349204165034431</v>
      </c>
      <c r="D20" s="34">
        <f>'загальн.витрати'!M8/'Положит. Эффект '!J10</f>
        <v>4.166779449889439</v>
      </c>
      <c r="E20" s="36">
        <f>'загальн.витрати'!S8</f>
        <v>362.7835017530599</v>
      </c>
      <c r="F20" s="355">
        <f>'загальн.витрати'!T8</f>
        <v>6.046391695884332</v>
      </c>
      <c r="G20" s="36">
        <f>'загальн.витрати'!W8</f>
        <v>523.2113092396909</v>
      </c>
      <c r="H20" s="255">
        <f>G20*0.2/12</f>
        <v>8.720188487328182</v>
      </c>
    </row>
    <row r="21" spans="1:8" s="195" customFormat="1" ht="56.25" customHeight="1">
      <c r="A21" s="339">
        <v>16</v>
      </c>
      <c r="B21" s="69" t="s">
        <v>357</v>
      </c>
      <c r="C21" s="34" t="e">
        <f>'загальн.витрати'!K11/'Положит. Эффект '!J13</f>
        <v>#REF!</v>
      </c>
      <c r="D21" s="34" t="e">
        <f>'загальн.витрати'!M11/'Положит. Эффект '!J13</f>
        <v>#REF!</v>
      </c>
      <c r="E21" s="36">
        <f>'загальн.витрати'!S11</f>
        <v>407.88251502950817</v>
      </c>
      <c r="F21" s="355">
        <f>'загальн.витрати'!T11</f>
        <v>6.7980419171584705</v>
      </c>
      <c r="G21" s="36" t="e">
        <f>'загальн.витрати'!W11</f>
        <v>#REF!</v>
      </c>
      <c r="H21" s="255" t="e">
        <f>G21*0.2/12</f>
        <v>#REF!</v>
      </c>
    </row>
    <row r="22" spans="1:8" s="195" customFormat="1" ht="51.75" customHeight="1">
      <c r="A22" s="339">
        <v>17</v>
      </c>
      <c r="B22" s="69" t="s">
        <v>359</v>
      </c>
      <c r="C22" s="34" t="e">
        <f>'загальн.витрати'!K7/'Положит. Эффект '!J9</f>
        <v>#REF!</v>
      </c>
      <c r="D22" s="34" t="e">
        <f>'загальн.витрати'!M7/'Положит. Эффект '!J9</f>
        <v>#REF!</v>
      </c>
      <c r="E22" s="36">
        <f>'загальн.витрати'!S7</f>
        <v>553.8595932247788</v>
      </c>
      <c r="F22" s="355">
        <f>'загальн.витрати'!T7</f>
        <v>10.154092542454277</v>
      </c>
      <c r="G22" s="36" t="e">
        <f>'загальн.витрати'!W7</f>
        <v>#REF!</v>
      </c>
      <c r="H22" s="255" t="e">
        <f>G22*0.22/12</f>
        <v>#REF!</v>
      </c>
    </row>
    <row r="23" spans="1:8" s="195" customFormat="1" ht="51" customHeight="1">
      <c r="A23" s="339">
        <v>18</v>
      </c>
      <c r="B23" s="338" t="s">
        <v>761</v>
      </c>
      <c r="C23" s="34" t="e">
        <f>'загальн.витрати'!K17/'Положит. Эффект '!J19</f>
        <v>#REF!</v>
      </c>
      <c r="D23" s="34" t="e">
        <f>'загальн.витрати'!M17/'Положит. Эффект '!J19</f>
        <v>#REF!</v>
      </c>
      <c r="E23" s="36">
        <f>'загальн.витрати'!S17</f>
        <v>925.7662706181816</v>
      </c>
      <c r="F23" s="355">
        <f>'загальн.витрати'!T17</f>
        <v>11.57207838272727</v>
      </c>
      <c r="G23" s="36" t="e">
        <f>'загальн.витрати'!W17</f>
        <v>#REF!</v>
      </c>
      <c r="H23" s="255" t="e">
        <f>G23*0.15/12</f>
        <v>#REF!</v>
      </c>
    </row>
    <row r="24" spans="1:8" s="195" customFormat="1" ht="51" customHeight="1">
      <c r="A24" s="339">
        <v>19</v>
      </c>
      <c r="B24" s="338" t="s">
        <v>759</v>
      </c>
      <c r="C24" s="34" t="e">
        <f>'загальн.витрати'!K16/'Положит. Эффект '!J18</f>
        <v>#REF!</v>
      </c>
      <c r="D24" s="34" t="e">
        <f>'загальн.витрати'!M16/'Положит. Эффект '!J18</f>
        <v>#REF!</v>
      </c>
      <c r="E24" s="36">
        <f>'загальн.витрати'!S16</f>
        <v>1174.7991526297872</v>
      </c>
      <c r="F24" s="355">
        <f>'загальн.витрати'!T16</f>
        <v>14.684989407872338</v>
      </c>
      <c r="G24" s="36" t="e">
        <f>'загальн.витрати'!W16</f>
        <v>#REF!</v>
      </c>
      <c r="H24" s="255" t="e">
        <f>G24*0.15/12</f>
        <v>#REF!</v>
      </c>
    </row>
    <row r="25" spans="1:8" s="195" customFormat="1" ht="51" customHeight="1">
      <c r="A25" s="339">
        <v>20</v>
      </c>
      <c r="B25" s="338" t="s">
        <v>768</v>
      </c>
      <c r="C25" s="34" t="e">
        <f>'загальн.витрати'!K18/'Положит. Эффект '!J20</f>
        <v>#REF!</v>
      </c>
      <c r="D25" s="34" t="e">
        <f>'загальн.витрати'!M18/'Положит. Эффект '!J20</f>
        <v>#REF!</v>
      </c>
      <c r="E25" s="36">
        <f>'загальн.витрати'!S18</f>
        <v>2327.2814221333333</v>
      </c>
      <c r="F25" s="355">
        <f>'загальн.витрати'!T18</f>
        <v>29.091017776666664</v>
      </c>
      <c r="G25" s="36" t="e">
        <f>'загальн.витрати'!W18</f>
        <v>#REF!</v>
      </c>
      <c r="H25" s="255" t="e">
        <f>G25*0.15/12</f>
        <v>#REF!</v>
      </c>
    </row>
    <row r="26" spans="1:8" s="195" customFormat="1" ht="51" customHeight="1" thickBot="1">
      <c r="A26" s="334">
        <v>21</v>
      </c>
      <c r="B26" s="351" t="s">
        <v>354</v>
      </c>
      <c r="C26" s="340"/>
      <c r="D26" s="340"/>
      <c r="E26" s="298"/>
      <c r="F26" s="298"/>
      <c r="G26" s="298"/>
      <c r="H26" s="299"/>
    </row>
    <row r="27" ht="20.25">
      <c r="B27" s="201"/>
    </row>
    <row r="28" ht="20.25">
      <c r="B28" s="201"/>
    </row>
    <row r="29" spans="2:4" ht="20.25">
      <c r="B29" s="213"/>
      <c r="C29" s="213"/>
      <c r="D29" s="213"/>
    </row>
  </sheetData>
  <mergeCells count="6">
    <mergeCell ref="G3:H3"/>
    <mergeCell ref="A2:H2"/>
    <mergeCell ref="A3:A4"/>
    <mergeCell ref="B3:B4"/>
    <mergeCell ref="C3:D3"/>
    <mergeCell ref="E3:F3"/>
  </mergeCells>
  <printOptions/>
  <pageMargins left="0" right="0" top="0" bottom="0" header="0.5118110236220472" footer="0.5118110236220472"/>
  <pageSetup fitToHeight="1" fitToWidth="1" horizontalDpi="300" verticalDpi="300" orientation="landscape" paperSize="9" scale="37" r:id="rId1"/>
  <headerFooter alignWithMargins="0">
    <oddFooter>&amp;L&amp;F&amp;A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view="pageBreakPreview" zoomScale="60" zoomScaleNormal="50" workbookViewId="0" topLeftCell="A1">
      <selection activeCell="D6" sqref="D6"/>
    </sheetView>
  </sheetViews>
  <sheetFormatPr defaultColWidth="9.00390625" defaultRowHeight="12.75"/>
  <cols>
    <col min="1" max="1" width="9.125" style="358" customWidth="1"/>
    <col min="2" max="2" width="23.875" style="358" customWidth="1"/>
    <col min="3" max="3" width="16.125" style="358" customWidth="1"/>
    <col min="4" max="4" width="26.25390625" style="358" customWidth="1"/>
    <col min="5" max="5" width="18.375" style="358" customWidth="1"/>
    <col min="6" max="6" width="21.875" style="358" customWidth="1"/>
    <col min="7" max="7" width="22.625" style="358" customWidth="1"/>
    <col min="8" max="8" width="18.875" style="358" customWidth="1"/>
    <col min="9" max="9" width="18.25390625" style="358" customWidth="1"/>
    <col min="10" max="10" width="18.00390625" style="358" customWidth="1"/>
    <col min="11" max="11" width="16.625" style="358" customWidth="1"/>
    <col min="12" max="12" width="15.125" style="358" customWidth="1"/>
    <col min="13" max="13" width="24.00390625" style="358" customWidth="1"/>
    <col min="14" max="14" width="14.00390625" style="358" customWidth="1"/>
    <col min="15" max="15" width="19.75390625" style="358" customWidth="1"/>
    <col min="16" max="16384" width="9.125" style="358" customWidth="1"/>
  </cols>
  <sheetData>
    <row r="1" spans="1:15" ht="75.75" customHeight="1" thickBot="1">
      <c r="A1" s="924" t="s">
        <v>472</v>
      </c>
      <c r="B1" s="925"/>
      <c r="C1" s="925"/>
      <c r="D1" s="925"/>
      <c r="E1" s="925"/>
      <c r="F1" s="925"/>
      <c r="G1" s="925"/>
      <c r="H1" s="925"/>
      <c r="I1" s="925"/>
      <c r="J1" s="925"/>
      <c r="K1" s="925"/>
      <c r="L1" s="925"/>
      <c r="M1" s="925"/>
      <c r="N1" s="925"/>
      <c r="O1" s="925"/>
    </row>
    <row r="2" spans="1:15" ht="74.25" customHeight="1">
      <c r="A2" s="929" t="s">
        <v>143</v>
      </c>
      <c r="B2" s="931" t="s">
        <v>283</v>
      </c>
      <c r="C2" s="926" t="s">
        <v>284</v>
      </c>
      <c r="D2" s="926"/>
      <c r="E2" s="926"/>
      <c r="F2" s="360" t="s">
        <v>288</v>
      </c>
      <c r="G2" s="926" t="s">
        <v>289</v>
      </c>
      <c r="H2" s="926"/>
      <c r="I2" s="926"/>
      <c r="J2" s="933" t="s">
        <v>292</v>
      </c>
      <c r="K2" s="926" t="s">
        <v>293</v>
      </c>
      <c r="L2" s="926"/>
      <c r="M2" s="926" t="s">
        <v>295</v>
      </c>
      <c r="N2" s="926"/>
      <c r="O2" s="927" t="s">
        <v>298</v>
      </c>
    </row>
    <row r="3" spans="1:15" ht="78" customHeight="1">
      <c r="A3" s="930"/>
      <c r="B3" s="932"/>
      <c r="C3" s="357" t="s">
        <v>285</v>
      </c>
      <c r="D3" s="357" t="s">
        <v>286</v>
      </c>
      <c r="E3" s="357" t="s">
        <v>287</v>
      </c>
      <c r="F3" s="357" t="s">
        <v>285</v>
      </c>
      <c r="G3" s="357" t="s">
        <v>285</v>
      </c>
      <c r="H3" s="357" t="s">
        <v>290</v>
      </c>
      <c r="I3" s="357" t="s">
        <v>291</v>
      </c>
      <c r="J3" s="934"/>
      <c r="K3" s="357" t="s">
        <v>291</v>
      </c>
      <c r="L3" s="357" t="s">
        <v>294</v>
      </c>
      <c r="M3" s="357" t="s">
        <v>297</v>
      </c>
      <c r="N3" s="357" t="s">
        <v>296</v>
      </c>
      <c r="O3" s="928"/>
    </row>
    <row r="4" spans="1:15" s="612" customFormat="1" ht="21" customHeight="1" thickBot="1">
      <c r="A4" s="609">
        <v>1</v>
      </c>
      <c r="B4" s="610">
        <v>2</v>
      </c>
      <c r="C4" s="610">
        <v>3</v>
      </c>
      <c r="D4" s="610">
        <v>4</v>
      </c>
      <c r="E4" s="610">
        <v>5</v>
      </c>
      <c r="F4" s="610">
        <v>6</v>
      </c>
      <c r="G4" s="610">
        <v>7</v>
      </c>
      <c r="H4" s="610">
        <v>8</v>
      </c>
      <c r="I4" s="610">
        <v>9</v>
      </c>
      <c r="J4" s="610">
        <v>10</v>
      </c>
      <c r="K4" s="610">
        <v>11</v>
      </c>
      <c r="L4" s="610">
        <v>12</v>
      </c>
      <c r="M4" s="610">
        <v>13</v>
      </c>
      <c r="N4" s="610">
        <v>14</v>
      </c>
      <c r="O4" s="611">
        <v>15</v>
      </c>
    </row>
    <row r="5" spans="1:15" ht="144" customHeight="1">
      <c r="A5" s="606">
        <v>1</v>
      </c>
      <c r="B5" s="481" t="s">
        <v>553</v>
      </c>
      <c r="C5" s="481">
        <f>'[2]произв.'!B4</f>
        <v>1</v>
      </c>
      <c r="D5" s="481">
        <f>'[2]произв.'!C4</f>
        <v>5</v>
      </c>
      <c r="E5" s="481">
        <f>'[2]произв.'!D4</f>
        <v>45</v>
      </c>
      <c r="F5" s="482">
        <f>'[2]произв.'!E4</f>
        <v>7.777777777777778</v>
      </c>
      <c r="G5" s="483">
        <f>'свод по оборудованию'!L23</f>
        <v>508.267</v>
      </c>
      <c r="H5" s="482">
        <f>'[2]произв.'!G4</f>
        <v>318.75</v>
      </c>
      <c r="I5" s="482">
        <f>'[2]произв.'!H4</f>
        <v>63.75</v>
      </c>
      <c r="J5" s="476">
        <v>2</v>
      </c>
      <c r="K5" s="484">
        <f>I5-J5</f>
        <v>61.75</v>
      </c>
      <c r="L5" s="485">
        <f>K5*D5</f>
        <v>308.75</v>
      </c>
      <c r="M5" s="476" t="s">
        <v>299</v>
      </c>
      <c r="N5" s="486">
        <f>'[2]обслуж.'!$D$4</f>
        <v>53</v>
      </c>
      <c r="O5" s="487">
        <f>N5+L5</f>
        <v>361.75</v>
      </c>
    </row>
    <row r="6" spans="1:15" ht="130.5" customHeight="1">
      <c r="A6" s="607">
        <v>2</v>
      </c>
      <c r="B6" s="452" t="str">
        <f>'[2]произв.'!A7</f>
        <v>ТА</v>
      </c>
      <c r="C6" s="452">
        <f>'[2]произв.'!B7</f>
        <v>200</v>
      </c>
      <c r="D6" s="452">
        <f>'[2]произв.'!C7</f>
        <v>10</v>
      </c>
      <c r="E6" s="452">
        <f>'[2]произв.'!D7</f>
        <v>30</v>
      </c>
      <c r="F6" s="452">
        <f>'[2]произв.'!E7</f>
        <v>2400</v>
      </c>
      <c r="G6" s="453">
        <f>'свод по оборудованию'!O23</f>
        <v>20426.554166666665</v>
      </c>
      <c r="H6" s="454">
        <f>'[2]произв.'!G7</f>
        <v>83.33333333333334</v>
      </c>
      <c r="I6" s="454">
        <f>'[2]произв.'!H7</f>
        <v>8.333333333333334</v>
      </c>
      <c r="J6" s="455">
        <v>2</v>
      </c>
      <c r="K6" s="456">
        <f>I6-J6</f>
        <v>6.333333333333334</v>
      </c>
      <c r="L6" s="111">
        <f>K6*D6</f>
        <v>63.33333333333334</v>
      </c>
      <c r="M6" s="451" t="s">
        <v>300</v>
      </c>
      <c r="N6" s="457">
        <f>'[2]обслуж.'!$D$7</f>
        <v>18</v>
      </c>
      <c r="O6" s="458">
        <f>N6+L6</f>
        <v>81.33333333333334</v>
      </c>
    </row>
    <row r="7" spans="1:15" ht="143.25" customHeight="1">
      <c r="A7" s="607">
        <v>3</v>
      </c>
      <c r="B7" s="452" t="s">
        <v>56</v>
      </c>
      <c r="C7" s="452">
        <f>'[2]произв.'!B11</f>
        <v>1</v>
      </c>
      <c r="D7" s="452">
        <f>'[2]произв.'!C11</f>
        <v>80</v>
      </c>
      <c r="E7" s="452">
        <f>'[2]произв.'!D11</f>
        <v>30</v>
      </c>
      <c r="F7" s="452">
        <f>'[2]произв.'!E11</f>
        <v>12</v>
      </c>
      <c r="G7" s="453">
        <f>'свод по оборудованию'!I23</f>
        <v>10</v>
      </c>
      <c r="H7" s="454">
        <f>'[2]произв.'!G11</f>
        <v>66.66666666666667</v>
      </c>
      <c r="I7" s="454">
        <f>'[2]произв.'!H11</f>
        <v>0.8333333333333334</v>
      </c>
      <c r="J7" s="455">
        <v>1</v>
      </c>
      <c r="K7" s="456">
        <f>I7-J7</f>
        <v>-0.16666666666666663</v>
      </c>
      <c r="L7" s="111">
        <v>0</v>
      </c>
      <c r="M7" s="451" t="s">
        <v>301</v>
      </c>
      <c r="N7" s="457">
        <f>103</f>
        <v>103</v>
      </c>
      <c r="O7" s="458">
        <f>N7+L7</f>
        <v>103</v>
      </c>
    </row>
    <row r="8" spans="1:15" ht="143.25" customHeight="1">
      <c r="A8" s="450"/>
      <c r="B8" s="459"/>
      <c r="C8" s="459"/>
      <c r="D8" s="459"/>
      <c r="E8" s="459"/>
      <c r="F8" s="459"/>
      <c r="G8" s="460"/>
      <c r="H8" s="461"/>
      <c r="I8" s="461"/>
      <c r="J8" s="462"/>
      <c r="K8" s="463"/>
      <c r="L8" s="464"/>
      <c r="M8" s="465"/>
      <c r="N8" s="449"/>
      <c r="O8" s="466"/>
    </row>
    <row r="9" spans="1:15" s="361" customFormat="1" ht="73.5" customHeight="1">
      <c r="A9" s="450">
        <v>4</v>
      </c>
      <c r="B9" s="449" t="s">
        <v>303</v>
      </c>
      <c r="C9" s="464"/>
      <c r="D9" s="464"/>
      <c r="E9" s="464"/>
      <c r="F9" s="464"/>
      <c r="G9" s="464"/>
      <c r="H9" s="111">
        <f>SUM(H5:H7)</f>
        <v>468.75000000000006</v>
      </c>
      <c r="I9" s="464">
        <f>SUM(I5:I7)</f>
        <v>72.91666666666666</v>
      </c>
      <c r="J9" s="464">
        <f>SUM(J5:J7)</f>
        <v>5</v>
      </c>
      <c r="K9" s="464">
        <f>SUM(K5:K7)</f>
        <v>67.91666666666666</v>
      </c>
      <c r="L9" s="464">
        <f>SUM(L5:L7)</f>
        <v>372.08333333333337</v>
      </c>
      <c r="M9" s="464"/>
      <c r="N9" s="464">
        <f>SUM(N5:N7)</f>
        <v>174</v>
      </c>
      <c r="O9" s="466">
        <f>SUM(O5:O7)</f>
        <v>546.0833333333334</v>
      </c>
    </row>
    <row r="10" spans="1:15" ht="48.75" customHeight="1">
      <c r="A10" s="607">
        <v>5</v>
      </c>
      <c r="B10" s="457" t="s">
        <v>302</v>
      </c>
      <c r="C10" s="455"/>
      <c r="D10" s="455"/>
      <c r="E10" s="455"/>
      <c r="F10" s="455"/>
      <c r="G10" s="455"/>
      <c r="H10" s="357"/>
      <c r="I10" s="457"/>
      <c r="J10" s="457"/>
      <c r="K10" s="457"/>
      <c r="L10" s="457">
        <v>93</v>
      </c>
      <c r="M10" s="457"/>
      <c r="N10" s="457">
        <v>46</v>
      </c>
      <c r="O10" s="488">
        <v>139</v>
      </c>
    </row>
    <row r="11" spans="1:15" ht="55.5" customHeight="1" thickBot="1">
      <c r="A11" s="608">
        <v>6</v>
      </c>
      <c r="B11" s="489" t="s">
        <v>304</v>
      </c>
      <c r="C11" s="490"/>
      <c r="D11" s="490"/>
      <c r="E11" s="490"/>
      <c r="F11" s="490"/>
      <c r="G11" s="490"/>
      <c r="H11" s="491"/>
      <c r="I11" s="491"/>
      <c r="J11" s="490"/>
      <c r="K11" s="490"/>
      <c r="L11" s="490"/>
      <c r="M11" s="490"/>
      <c r="N11" s="491"/>
      <c r="O11" s="492">
        <f>O9+O10</f>
        <v>685.0833333333334</v>
      </c>
    </row>
    <row r="15" ht="23.25">
      <c r="F15" s="359"/>
    </row>
  </sheetData>
  <mergeCells count="9">
    <mergeCell ref="A1:O1"/>
    <mergeCell ref="K2:L2"/>
    <mergeCell ref="O2:O3"/>
    <mergeCell ref="A2:A3"/>
    <mergeCell ref="M2:N2"/>
    <mergeCell ref="C2:E2"/>
    <mergeCell ref="G2:I2"/>
    <mergeCell ref="B2:B3"/>
    <mergeCell ref="J2:J3"/>
  </mergeCells>
  <printOptions horizontalCentered="1"/>
  <pageMargins left="0" right="0" top="0" bottom="0" header="0.5118110236220472" footer="0.5118110236220472"/>
  <pageSetup fitToHeight="1" fitToWidth="1" horizontalDpi="300" verticalDpi="300" orientation="landscape" paperSize="9" scale="5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7"/>
  <sheetViews>
    <sheetView workbookViewId="0" topLeftCell="A1">
      <selection activeCell="D23" sqref="D23"/>
    </sheetView>
  </sheetViews>
  <sheetFormatPr defaultColWidth="9.00390625" defaultRowHeight="12.75"/>
  <cols>
    <col min="1" max="1" width="9.125" style="467" customWidth="1"/>
    <col min="2" max="2" width="50.125" style="467" customWidth="1"/>
    <col min="3" max="3" width="21.375" style="467" customWidth="1"/>
    <col min="4" max="4" width="16.75390625" style="467" customWidth="1"/>
    <col min="5" max="16384" width="9.125" style="467" customWidth="1"/>
  </cols>
  <sheetData>
    <row r="3" spans="1:5" ht="64.5" customHeight="1" thickBot="1">
      <c r="A3" s="935" t="s">
        <v>463</v>
      </c>
      <c r="B3" s="935"/>
      <c r="C3" s="935"/>
      <c r="D3" s="935"/>
      <c r="E3" s="477"/>
    </row>
    <row r="4" spans="1:4" ht="37.5" customHeight="1" thickBot="1">
      <c r="A4" s="508" t="s">
        <v>143</v>
      </c>
      <c r="B4" s="509" t="s">
        <v>406</v>
      </c>
      <c r="C4" s="509" t="s">
        <v>305</v>
      </c>
      <c r="D4" s="510" t="s">
        <v>312</v>
      </c>
    </row>
    <row r="5" spans="1:4" ht="40.5">
      <c r="A5" s="495">
        <v>1</v>
      </c>
      <c r="B5" s="506" t="s">
        <v>202</v>
      </c>
      <c r="C5" s="478" t="s">
        <v>407</v>
      </c>
      <c r="D5" s="507">
        <v>868726</v>
      </c>
    </row>
    <row r="6" spans="1:4" ht="20.25" customHeight="1">
      <c r="A6" s="493">
        <v>2</v>
      </c>
      <c r="B6" s="472" t="s">
        <v>408</v>
      </c>
      <c r="C6" s="469" t="s">
        <v>407</v>
      </c>
      <c r="D6" s="494">
        <v>322427.16</v>
      </c>
    </row>
    <row r="7" spans="1:4" ht="40.5">
      <c r="A7" s="493">
        <v>3</v>
      </c>
      <c r="B7" s="472" t="s">
        <v>409</v>
      </c>
      <c r="C7" s="469" t="s">
        <v>407</v>
      </c>
      <c r="D7" s="494" t="e">
        <f>'загальн.витрати'!G26</f>
        <v>#REF!</v>
      </c>
    </row>
    <row r="8" spans="1:4" ht="20.25">
      <c r="A8" s="493">
        <v>4</v>
      </c>
      <c r="B8" s="472" t="s">
        <v>306</v>
      </c>
      <c r="C8" s="469" t="s">
        <v>347</v>
      </c>
      <c r="D8" s="494">
        <v>26165</v>
      </c>
    </row>
    <row r="9" spans="1:4" ht="60.75">
      <c r="A9" s="493">
        <v>5</v>
      </c>
      <c r="B9" s="472" t="s">
        <v>410</v>
      </c>
      <c r="C9" s="469" t="s">
        <v>307</v>
      </c>
      <c r="D9" s="494">
        <f>'загальн.витрати'!O26</f>
        <v>301.79888718491105</v>
      </c>
    </row>
    <row r="10" spans="1:4" ht="40.5">
      <c r="A10" s="493">
        <v>6</v>
      </c>
      <c r="B10" s="472" t="s">
        <v>411</v>
      </c>
      <c r="C10" s="469" t="s">
        <v>412</v>
      </c>
      <c r="D10" s="494">
        <f>'загальн.витрати'!P26</f>
        <v>821321.5275627605</v>
      </c>
    </row>
    <row r="11" spans="1:4" ht="20.25">
      <c r="A11" s="938">
        <v>7</v>
      </c>
      <c r="B11" s="936" t="s">
        <v>203</v>
      </c>
      <c r="C11" s="469" t="s">
        <v>336</v>
      </c>
      <c r="D11" s="494">
        <f>'Снижние сверхнормат ТРЭ'!E274*-1</f>
        <v>-51584.95</v>
      </c>
    </row>
    <row r="12" spans="1:4" ht="70.5" customHeight="1">
      <c r="A12" s="939"/>
      <c r="B12" s="937"/>
      <c r="C12" s="469" t="s">
        <v>308</v>
      </c>
      <c r="D12" s="496">
        <v>0.26</v>
      </c>
    </row>
    <row r="13" spans="1:4" ht="20.25">
      <c r="A13" s="493">
        <v>8</v>
      </c>
      <c r="B13" s="473" t="s">
        <v>413</v>
      </c>
      <c r="C13" s="468" t="s">
        <v>347</v>
      </c>
      <c r="D13" s="497">
        <f>'Снижние сверхнормат ТРЭ'!F274</f>
        <v>10677.5688005</v>
      </c>
    </row>
    <row r="14" spans="1:4" ht="92.25">
      <c r="A14" s="493">
        <v>9</v>
      </c>
      <c r="B14" s="472" t="s">
        <v>313</v>
      </c>
      <c r="C14" s="469" t="s">
        <v>414</v>
      </c>
      <c r="D14" s="494">
        <f>'загальн.витрати'!S26</f>
        <v>291.51618997462134</v>
      </c>
    </row>
    <row r="15" spans="1:4" ht="60.75">
      <c r="A15" s="493">
        <v>10</v>
      </c>
      <c r="B15" s="473" t="s">
        <v>309</v>
      </c>
      <c r="C15" s="468" t="s">
        <v>347</v>
      </c>
      <c r="D15" s="497">
        <v>88572</v>
      </c>
    </row>
    <row r="16" spans="1:4" ht="20.25">
      <c r="A16" s="942">
        <v>11</v>
      </c>
      <c r="B16" s="940" t="s">
        <v>415</v>
      </c>
      <c r="C16" s="474" t="s">
        <v>340</v>
      </c>
      <c r="D16" s="498">
        <f>'сравнение затрат до и после Зах'!O285-'сравнение затрат до и после Зах'!W285</f>
        <v>407.1640740740738</v>
      </c>
    </row>
    <row r="17" spans="1:4" ht="20.25">
      <c r="A17" s="943"/>
      <c r="B17" s="941"/>
      <c r="C17" s="474" t="s">
        <v>407</v>
      </c>
      <c r="D17" s="498">
        <f>'сравнение затрат до и после Зах'!R285-'сравнение затрат до и после Зах'!Y285</f>
        <v>39271.354773238876</v>
      </c>
    </row>
    <row r="18" spans="1:4" ht="20.25">
      <c r="A18" s="493">
        <v>12</v>
      </c>
      <c r="B18" s="473" t="s">
        <v>310</v>
      </c>
      <c r="C18" s="468" t="s">
        <v>348</v>
      </c>
      <c r="D18" s="497">
        <v>2560</v>
      </c>
    </row>
    <row r="19" spans="1:4" ht="60.75">
      <c r="A19" s="493">
        <v>13</v>
      </c>
      <c r="B19" s="473" t="s">
        <v>311</v>
      </c>
      <c r="C19" s="468" t="s">
        <v>347</v>
      </c>
      <c r="D19" s="497">
        <v>1000</v>
      </c>
    </row>
    <row r="20" spans="1:4" ht="20.25">
      <c r="A20" s="493">
        <v>14</v>
      </c>
      <c r="B20" s="475" t="s">
        <v>396</v>
      </c>
      <c r="C20" s="470" t="s">
        <v>347</v>
      </c>
      <c r="D20" s="499">
        <f>D13+D18+D19+D15</f>
        <v>102809.5688005</v>
      </c>
    </row>
    <row r="21" spans="1:4" ht="51.75">
      <c r="A21" s="493">
        <v>15</v>
      </c>
      <c r="B21" s="473" t="s">
        <v>205</v>
      </c>
      <c r="C21" s="468" t="s">
        <v>416</v>
      </c>
      <c r="D21" s="500" t="e">
        <f>'Положит. Эффект '!L28</f>
        <v>#REF!</v>
      </c>
    </row>
    <row r="22" spans="1:4" ht="83.25">
      <c r="A22" s="493">
        <v>16</v>
      </c>
      <c r="B22" s="473" t="s">
        <v>204</v>
      </c>
      <c r="C22" s="468" t="s">
        <v>416</v>
      </c>
      <c r="D22" s="501">
        <v>8.45</v>
      </c>
    </row>
    <row r="23" spans="1:4" ht="41.25" thickBot="1">
      <c r="A23" s="502">
        <v>17</v>
      </c>
      <c r="B23" s="503" t="s">
        <v>314</v>
      </c>
      <c r="C23" s="504" t="s">
        <v>315</v>
      </c>
      <c r="D23" s="505">
        <v>685</v>
      </c>
    </row>
    <row r="24" ht="20.25">
      <c r="D24" s="471"/>
    </row>
    <row r="25" ht="20.25">
      <c r="D25" s="471"/>
    </row>
    <row r="27" ht="20.25">
      <c r="D27" s="471"/>
    </row>
  </sheetData>
  <mergeCells count="5">
    <mergeCell ref="A3:D3"/>
    <mergeCell ref="B11:B12"/>
    <mergeCell ref="A11:A12"/>
    <mergeCell ref="B16:B17"/>
    <mergeCell ref="A16:A17"/>
  </mergeCells>
  <printOptions/>
  <pageMargins left="0.75" right="0.75" top="1" bottom="1" header="0.5" footer="0.5"/>
  <pageSetup fitToHeight="1" fitToWidth="1" horizontalDpi="300" verticalDpi="300" orientation="portrait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6"/>
  <sheetViews>
    <sheetView zoomScale="40" zoomScaleNormal="40" zoomScaleSheetLayoutView="25" workbookViewId="0" topLeftCell="A26">
      <selection activeCell="B62" sqref="B62"/>
    </sheetView>
  </sheetViews>
  <sheetFormatPr defaultColWidth="9.00390625" defaultRowHeight="12.75"/>
  <cols>
    <col min="1" max="1" width="17.125" style="37" bestFit="1" customWidth="1"/>
    <col min="2" max="2" width="47.00390625" style="37" customWidth="1"/>
    <col min="3" max="3" width="42.375" style="37" customWidth="1"/>
    <col min="4" max="4" width="33.875" style="37" customWidth="1"/>
    <col min="5" max="5" width="24.25390625" style="52" customWidth="1"/>
    <col min="6" max="6" width="88.375" style="50" hidden="1" customWidth="1"/>
    <col min="7" max="7" width="54.25390625" style="37" customWidth="1"/>
    <col min="8" max="8" width="52.125" style="51" hidden="1" customWidth="1"/>
    <col min="9" max="9" width="30.375" style="37" customWidth="1"/>
    <col min="10" max="10" width="35.25390625" style="45" customWidth="1"/>
    <col min="11" max="12" width="24.25390625" style="37" customWidth="1"/>
    <col min="13" max="13" width="26.75390625" style="37" customWidth="1"/>
    <col min="14" max="14" width="26.00390625" style="37" customWidth="1"/>
    <col min="15" max="16384" width="9.125" style="37" customWidth="1"/>
  </cols>
  <sheetData>
    <row r="1" spans="1:14" ht="50.25" customHeight="1" thickBot="1">
      <c r="A1" s="945" t="s">
        <v>155</v>
      </c>
      <c r="B1" s="945"/>
      <c r="C1" s="945"/>
      <c r="D1" s="945"/>
      <c r="E1" s="945"/>
      <c r="F1" s="945"/>
      <c r="G1" s="945"/>
      <c r="H1" s="945"/>
      <c r="I1" s="945"/>
      <c r="J1" s="945"/>
      <c r="K1" s="945"/>
      <c r="L1" s="945"/>
      <c r="M1" s="945"/>
      <c r="N1" s="945"/>
    </row>
    <row r="2" spans="1:14" ht="27" customHeight="1">
      <c r="A2" s="782" t="s">
        <v>459</v>
      </c>
      <c r="B2" s="581" t="s">
        <v>508</v>
      </c>
      <c r="C2" s="795" t="s">
        <v>153</v>
      </c>
      <c r="D2" s="795"/>
      <c r="E2" s="795"/>
      <c r="F2" s="581"/>
      <c r="G2" s="946" t="s">
        <v>152</v>
      </c>
      <c r="H2" s="946"/>
      <c r="I2" s="946"/>
      <c r="J2" s="946"/>
      <c r="K2" s="946" t="s">
        <v>151</v>
      </c>
      <c r="L2" s="946"/>
      <c r="M2" s="946"/>
      <c r="N2" s="948"/>
    </row>
    <row r="3" spans="1:14" ht="25.5" customHeight="1">
      <c r="A3" s="783"/>
      <c r="B3" s="38" t="s">
        <v>509</v>
      </c>
      <c r="C3" s="797"/>
      <c r="D3" s="797"/>
      <c r="E3" s="797"/>
      <c r="F3" s="38"/>
      <c r="G3" s="947"/>
      <c r="H3" s="947"/>
      <c r="I3" s="947"/>
      <c r="J3" s="947"/>
      <c r="K3" s="947"/>
      <c r="L3" s="947"/>
      <c r="M3" s="947"/>
      <c r="N3" s="949"/>
    </row>
    <row r="4" spans="1:14" ht="25.5" customHeight="1">
      <c r="A4" s="783"/>
      <c r="B4" s="797" t="s">
        <v>130</v>
      </c>
      <c r="C4" s="797" t="s">
        <v>510</v>
      </c>
      <c r="D4" s="802" t="s">
        <v>620</v>
      </c>
      <c r="E4" s="944" t="s">
        <v>156</v>
      </c>
      <c r="F4" s="40"/>
      <c r="G4" s="11" t="s">
        <v>146</v>
      </c>
      <c r="H4" s="39"/>
      <c r="I4" s="11" t="s">
        <v>147</v>
      </c>
      <c r="J4" s="11" t="s">
        <v>148</v>
      </c>
      <c r="K4" s="788" t="s">
        <v>158</v>
      </c>
      <c r="L4" s="788" t="s">
        <v>159</v>
      </c>
      <c r="M4" s="788" t="s">
        <v>157</v>
      </c>
      <c r="N4" s="950" t="s">
        <v>150</v>
      </c>
    </row>
    <row r="5" spans="1:14" ht="102" customHeight="1">
      <c r="A5" s="783"/>
      <c r="B5" s="797"/>
      <c r="C5" s="797"/>
      <c r="D5" s="802"/>
      <c r="E5" s="944"/>
      <c r="F5" s="39" t="s">
        <v>129</v>
      </c>
      <c r="G5" s="39" t="s">
        <v>154</v>
      </c>
      <c r="H5" s="39" t="s">
        <v>126</v>
      </c>
      <c r="I5" s="39" t="s">
        <v>154</v>
      </c>
      <c r="J5" s="39" t="s">
        <v>515</v>
      </c>
      <c r="K5" s="788"/>
      <c r="L5" s="788"/>
      <c r="M5" s="788"/>
      <c r="N5" s="950"/>
    </row>
    <row r="6" spans="1:14" ht="26.25" thickBot="1">
      <c r="A6" s="784"/>
      <c r="B6" s="621">
        <v>1</v>
      </c>
      <c r="C6" s="621">
        <v>2</v>
      </c>
      <c r="D6" s="621">
        <v>3</v>
      </c>
      <c r="E6" s="622">
        <v>5</v>
      </c>
      <c r="F6" s="621">
        <v>6</v>
      </c>
      <c r="G6" s="621">
        <v>6</v>
      </c>
      <c r="H6" s="623">
        <v>9</v>
      </c>
      <c r="I6" s="621">
        <v>7</v>
      </c>
      <c r="J6" s="621">
        <v>8</v>
      </c>
      <c r="K6" s="621">
        <v>9</v>
      </c>
      <c r="L6" s="41">
        <v>10</v>
      </c>
      <c r="M6" s="621">
        <v>11</v>
      </c>
      <c r="N6" s="624">
        <v>12</v>
      </c>
    </row>
    <row r="7" spans="1:14" s="44" customFormat="1" ht="49.5" customHeight="1">
      <c r="A7" s="620">
        <v>1</v>
      </c>
      <c r="B7" s="174" t="s">
        <v>519</v>
      </c>
      <c r="C7" s="176" t="s">
        <v>103</v>
      </c>
      <c r="D7" s="222">
        <v>2.2</v>
      </c>
      <c r="E7" s="625">
        <v>30</v>
      </c>
      <c r="F7" s="626" t="s">
        <v>122</v>
      </c>
      <c r="G7" s="627">
        <v>15433</v>
      </c>
      <c r="H7" s="226"/>
      <c r="I7" s="627">
        <v>0</v>
      </c>
      <c r="J7" s="627">
        <f>SUM(G7+I7)</f>
        <v>15433</v>
      </c>
      <c r="K7" s="628">
        <v>0.5</v>
      </c>
      <c r="L7" s="629"/>
      <c r="M7" s="627">
        <v>50</v>
      </c>
      <c r="N7" s="630">
        <f>120*0.45</f>
        <v>54</v>
      </c>
    </row>
    <row r="8" spans="1:14" s="44" customFormat="1" ht="49.5" customHeight="1">
      <c r="A8" s="614">
        <v>2</v>
      </c>
      <c r="B8" s="38" t="s">
        <v>519</v>
      </c>
      <c r="C8" s="38" t="s">
        <v>104</v>
      </c>
      <c r="D8" s="631">
        <v>2.25</v>
      </c>
      <c r="E8" s="632">
        <v>30</v>
      </c>
      <c r="F8" s="426" t="s">
        <v>112</v>
      </c>
      <c r="G8" s="633">
        <v>10295</v>
      </c>
      <c r="H8" s="421"/>
      <c r="I8" s="633">
        <v>0</v>
      </c>
      <c r="J8" s="633">
        <f aca="true" t="shared" si="0" ref="J8:J60">SUM(G8+I8)</f>
        <v>10295</v>
      </c>
      <c r="K8" s="634">
        <v>0.69</v>
      </c>
      <c r="L8" s="635"/>
      <c r="M8" s="633">
        <v>50</v>
      </c>
      <c r="N8" s="636">
        <f>120-N7</f>
        <v>66</v>
      </c>
    </row>
    <row r="9" spans="1:14" s="44" customFormat="1" ht="49.5" customHeight="1">
      <c r="A9" s="614">
        <v>3</v>
      </c>
      <c r="B9" s="38" t="s">
        <v>612</v>
      </c>
      <c r="C9" s="38" t="s">
        <v>767</v>
      </c>
      <c r="D9" s="631">
        <v>0.85</v>
      </c>
      <c r="E9" s="632">
        <v>30</v>
      </c>
      <c r="F9" s="426" t="s">
        <v>113</v>
      </c>
      <c r="G9" s="633">
        <v>2647</v>
      </c>
      <c r="H9" s="421"/>
      <c r="I9" s="633">
        <v>0</v>
      </c>
      <c r="J9" s="633">
        <f t="shared" si="0"/>
        <v>2647</v>
      </c>
      <c r="K9" s="634">
        <v>0.11</v>
      </c>
      <c r="L9" s="635"/>
      <c r="M9" s="633">
        <v>50</v>
      </c>
      <c r="N9" s="637">
        <v>20</v>
      </c>
    </row>
    <row r="10" spans="1:14" s="44" customFormat="1" ht="49.5" customHeight="1">
      <c r="A10" s="614">
        <v>4</v>
      </c>
      <c r="B10" s="38" t="s">
        <v>613</v>
      </c>
      <c r="C10" s="38" t="s">
        <v>105</v>
      </c>
      <c r="D10" s="631">
        <v>1.12</v>
      </c>
      <c r="E10" s="632">
        <v>30</v>
      </c>
      <c r="F10" s="426" t="s">
        <v>624</v>
      </c>
      <c r="G10" s="633">
        <v>5036</v>
      </c>
      <c r="H10" s="421"/>
      <c r="I10" s="633">
        <v>0</v>
      </c>
      <c r="J10" s="633">
        <f t="shared" si="0"/>
        <v>5036</v>
      </c>
      <c r="K10" s="634">
        <v>0.26</v>
      </c>
      <c r="L10" s="635"/>
      <c r="M10" s="633">
        <v>50</v>
      </c>
      <c r="N10" s="637">
        <v>30</v>
      </c>
    </row>
    <row r="11" spans="1:14" s="44" customFormat="1" ht="49.5" customHeight="1">
      <c r="A11" s="614">
        <v>5</v>
      </c>
      <c r="B11" s="38" t="s">
        <v>683</v>
      </c>
      <c r="C11" s="38" t="s">
        <v>684</v>
      </c>
      <c r="D11" s="631">
        <v>0.43</v>
      </c>
      <c r="E11" s="632">
        <v>40</v>
      </c>
      <c r="F11" s="426" t="s">
        <v>685</v>
      </c>
      <c r="G11" s="633">
        <v>2468</v>
      </c>
      <c r="H11" s="421"/>
      <c r="I11" s="633"/>
      <c r="J11" s="633">
        <f t="shared" si="0"/>
        <v>2468</v>
      </c>
      <c r="K11" s="634">
        <v>1</v>
      </c>
      <c r="L11" s="635"/>
      <c r="M11" s="633">
        <v>50</v>
      </c>
      <c r="N11" s="637">
        <v>100</v>
      </c>
    </row>
    <row r="12" spans="1:14" s="20" customFormat="1" ht="49.5" customHeight="1">
      <c r="A12" s="615">
        <v>6</v>
      </c>
      <c r="B12" s="13" t="s">
        <v>444</v>
      </c>
      <c r="C12" s="13" t="s">
        <v>693</v>
      </c>
      <c r="D12" s="638">
        <v>1.8</v>
      </c>
      <c r="E12" s="639">
        <v>23</v>
      </c>
      <c r="F12" s="640" t="s">
        <v>114</v>
      </c>
      <c r="G12" s="641">
        <v>7100</v>
      </c>
      <c r="H12" s="642" t="s">
        <v>82</v>
      </c>
      <c r="I12" s="641">
        <v>5400</v>
      </c>
      <c r="J12" s="641">
        <f t="shared" si="0"/>
        <v>12500</v>
      </c>
      <c r="K12" s="643">
        <v>0.61</v>
      </c>
      <c r="L12" s="641">
        <v>0</v>
      </c>
      <c r="M12" s="641">
        <v>57</v>
      </c>
      <c r="N12" s="644">
        <v>30</v>
      </c>
    </row>
    <row r="13" spans="1:14" s="44" customFormat="1" ht="49.5" customHeight="1">
      <c r="A13" s="614">
        <v>7</v>
      </c>
      <c r="B13" s="38" t="s">
        <v>445</v>
      </c>
      <c r="C13" s="38" t="s">
        <v>696</v>
      </c>
      <c r="D13" s="631">
        <v>2</v>
      </c>
      <c r="E13" s="632">
        <v>67</v>
      </c>
      <c r="F13" s="426" t="s">
        <v>115</v>
      </c>
      <c r="G13" s="633">
        <v>5540</v>
      </c>
      <c r="H13" s="645" t="s">
        <v>48</v>
      </c>
      <c r="I13" s="633">
        <v>200</v>
      </c>
      <c r="J13" s="633">
        <f t="shared" si="0"/>
        <v>5740</v>
      </c>
      <c r="K13" s="634">
        <v>0.67</v>
      </c>
      <c r="L13" s="633">
        <v>0</v>
      </c>
      <c r="M13" s="633">
        <v>51</v>
      </c>
      <c r="N13" s="637">
        <v>30</v>
      </c>
    </row>
    <row r="14" spans="1:14" s="44" customFormat="1" ht="49.5" customHeight="1">
      <c r="A14" s="614">
        <v>8</v>
      </c>
      <c r="B14" s="38" t="s">
        <v>697</v>
      </c>
      <c r="C14" s="38" t="s">
        <v>698</v>
      </c>
      <c r="D14" s="631">
        <v>2.24</v>
      </c>
      <c r="E14" s="632">
        <v>48</v>
      </c>
      <c r="F14" s="426" t="s">
        <v>50</v>
      </c>
      <c r="G14" s="633">
        <v>12723</v>
      </c>
      <c r="H14" s="645" t="s">
        <v>49</v>
      </c>
      <c r="I14" s="633">
        <v>6100</v>
      </c>
      <c r="J14" s="633">
        <f t="shared" si="0"/>
        <v>18823</v>
      </c>
      <c r="K14" s="634">
        <v>0.69</v>
      </c>
      <c r="L14" s="633">
        <v>0</v>
      </c>
      <c r="M14" s="633">
        <v>45</v>
      </c>
      <c r="N14" s="637">
        <v>30</v>
      </c>
    </row>
    <row r="15" spans="1:14" s="44" customFormat="1" ht="49.5" customHeight="1">
      <c r="A15" s="614">
        <v>9</v>
      </c>
      <c r="B15" s="38" t="s">
        <v>697</v>
      </c>
      <c r="C15" s="38" t="s">
        <v>700</v>
      </c>
      <c r="D15" s="631">
        <v>3.92</v>
      </c>
      <c r="E15" s="632">
        <v>52</v>
      </c>
      <c r="F15" s="426" t="s">
        <v>62</v>
      </c>
      <c r="G15" s="633">
        <v>12700</v>
      </c>
      <c r="H15" s="646"/>
      <c r="I15" s="633"/>
      <c r="J15" s="633">
        <f t="shared" si="0"/>
        <v>12700</v>
      </c>
      <c r="K15" s="634">
        <v>1.56</v>
      </c>
      <c r="L15" s="633">
        <v>0</v>
      </c>
      <c r="M15" s="633">
        <v>54</v>
      </c>
      <c r="N15" s="637">
        <v>150</v>
      </c>
    </row>
    <row r="16" spans="1:14" s="44" customFormat="1" ht="49.5" customHeight="1">
      <c r="A16" s="614">
        <v>10</v>
      </c>
      <c r="B16" s="38" t="s">
        <v>701</v>
      </c>
      <c r="C16" s="38" t="s">
        <v>689</v>
      </c>
      <c r="D16" s="631">
        <v>5.62</v>
      </c>
      <c r="E16" s="632">
        <v>77</v>
      </c>
      <c r="F16" s="426" t="s">
        <v>63</v>
      </c>
      <c r="G16" s="633">
        <v>30454</v>
      </c>
      <c r="H16" s="645" t="s">
        <v>83</v>
      </c>
      <c r="I16" s="633">
        <v>6155</v>
      </c>
      <c r="J16" s="633">
        <f t="shared" si="0"/>
        <v>36609</v>
      </c>
      <c r="K16" s="634">
        <v>2.42</v>
      </c>
      <c r="L16" s="633">
        <v>0</v>
      </c>
      <c r="M16" s="633">
        <v>52</v>
      </c>
      <c r="N16" s="637">
        <v>150</v>
      </c>
    </row>
    <row r="17" spans="1:14" s="44" customFormat="1" ht="49.5" customHeight="1">
      <c r="A17" s="614">
        <v>11</v>
      </c>
      <c r="B17" s="38" t="s">
        <v>702</v>
      </c>
      <c r="C17" s="38" t="s">
        <v>689</v>
      </c>
      <c r="D17" s="631">
        <v>1.68</v>
      </c>
      <c r="E17" s="632">
        <v>32</v>
      </c>
      <c r="F17" s="426" t="s">
        <v>64</v>
      </c>
      <c r="G17" s="633">
        <v>5955</v>
      </c>
      <c r="H17" s="645" t="s">
        <v>65</v>
      </c>
      <c r="I17" s="633">
        <v>900</v>
      </c>
      <c r="J17" s="633">
        <f t="shared" si="0"/>
        <v>6855</v>
      </c>
      <c r="K17" s="634">
        <v>0.95</v>
      </c>
      <c r="L17" s="633">
        <v>0</v>
      </c>
      <c r="M17" s="633">
        <v>45</v>
      </c>
      <c r="N17" s="637">
        <v>50</v>
      </c>
    </row>
    <row r="18" spans="1:14" s="44" customFormat="1" ht="49.5" customHeight="1">
      <c r="A18" s="614">
        <v>12</v>
      </c>
      <c r="B18" s="38" t="s">
        <v>704</v>
      </c>
      <c r="C18" s="38" t="s">
        <v>689</v>
      </c>
      <c r="D18" s="631">
        <v>0.31</v>
      </c>
      <c r="E18" s="632">
        <v>12</v>
      </c>
      <c r="F18" s="426"/>
      <c r="G18" s="633"/>
      <c r="H18" s="421" t="s">
        <v>84</v>
      </c>
      <c r="I18" s="633">
        <v>1620</v>
      </c>
      <c r="J18" s="633">
        <f t="shared" si="0"/>
        <v>1620</v>
      </c>
      <c r="K18" s="634">
        <v>0.05</v>
      </c>
      <c r="L18" s="633">
        <v>0</v>
      </c>
      <c r="M18" s="633">
        <v>50</v>
      </c>
      <c r="N18" s="637">
        <v>0</v>
      </c>
    </row>
    <row r="19" spans="1:14" s="44" customFormat="1" ht="49.5" customHeight="1">
      <c r="A19" s="614">
        <v>13</v>
      </c>
      <c r="B19" s="38" t="s">
        <v>705</v>
      </c>
      <c r="C19" s="38" t="s">
        <v>689</v>
      </c>
      <c r="D19" s="631">
        <v>0.75</v>
      </c>
      <c r="E19" s="632">
        <v>11</v>
      </c>
      <c r="F19" s="426"/>
      <c r="G19" s="633"/>
      <c r="H19" s="421" t="s">
        <v>830</v>
      </c>
      <c r="I19" s="633">
        <v>2480</v>
      </c>
      <c r="J19" s="633">
        <f t="shared" si="0"/>
        <v>2480</v>
      </c>
      <c r="K19" s="634">
        <v>0.12</v>
      </c>
      <c r="L19" s="633">
        <v>0</v>
      </c>
      <c r="M19" s="633">
        <v>50</v>
      </c>
      <c r="N19" s="637">
        <v>0</v>
      </c>
    </row>
    <row r="20" spans="1:14" s="44" customFormat="1" ht="51.75" customHeight="1">
      <c r="A20" s="614">
        <v>14</v>
      </c>
      <c r="B20" s="38" t="s">
        <v>708</v>
      </c>
      <c r="C20" s="38" t="s">
        <v>689</v>
      </c>
      <c r="D20" s="631">
        <v>0.76</v>
      </c>
      <c r="E20" s="632">
        <v>10</v>
      </c>
      <c r="F20" s="426"/>
      <c r="G20" s="633"/>
      <c r="H20" s="421" t="s">
        <v>85</v>
      </c>
      <c r="I20" s="633">
        <v>1200</v>
      </c>
      <c r="J20" s="633">
        <f t="shared" si="0"/>
        <v>1200</v>
      </c>
      <c r="K20" s="634">
        <v>0</v>
      </c>
      <c r="L20" s="633">
        <v>0</v>
      </c>
      <c r="M20" s="633">
        <v>50</v>
      </c>
      <c r="N20" s="637">
        <v>0</v>
      </c>
    </row>
    <row r="21" spans="1:14" s="44" customFormat="1" ht="49.5" customHeight="1">
      <c r="A21" s="614">
        <v>15</v>
      </c>
      <c r="B21" s="38" t="s">
        <v>664</v>
      </c>
      <c r="C21" s="38" t="s">
        <v>689</v>
      </c>
      <c r="D21" s="631">
        <v>3.15</v>
      </c>
      <c r="E21" s="632">
        <v>15</v>
      </c>
      <c r="F21" s="426"/>
      <c r="G21" s="633"/>
      <c r="H21" s="645" t="s">
        <v>66</v>
      </c>
      <c r="I21" s="633">
        <v>9217</v>
      </c>
      <c r="J21" s="633">
        <f t="shared" si="0"/>
        <v>9217</v>
      </c>
      <c r="K21" s="634">
        <v>0.4</v>
      </c>
      <c r="L21" s="633">
        <v>0</v>
      </c>
      <c r="M21" s="633">
        <v>51</v>
      </c>
      <c r="N21" s="637">
        <v>20</v>
      </c>
    </row>
    <row r="22" spans="1:14" s="44" customFormat="1" ht="49.5" customHeight="1">
      <c r="A22" s="614">
        <v>16</v>
      </c>
      <c r="B22" s="38" t="s">
        <v>711</v>
      </c>
      <c r="C22" s="38" t="s">
        <v>689</v>
      </c>
      <c r="D22" s="631">
        <v>0.53</v>
      </c>
      <c r="E22" s="632">
        <v>15</v>
      </c>
      <c r="F22" s="426" t="s">
        <v>67</v>
      </c>
      <c r="G22" s="633">
        <v>710</v>
      </c>
      <c r="H22" s="154"/>
      <c r="I22" s="633"/>
      <c r="J22" s="633">
        <f t="shared" si="0"/>
        <v>710</v>
      </c>
      <c r="K22" s="634">
        <v>0.3</v>
      </c>
      <c r="L22" s="633">
        <v>0</v>
      </c>
      <c r="M22" s="633">
        <v>58</v>
      </c>
      <c r="N22" s="637">
        <v>20</v>
      </c>
    </row>
    <row r="23" spans="1:14" s="44" customFormat="1" ht="49.5" customHeight="1">
      <c r="A23" s="614">
        <v>17</v>
      </c>
      <c r="B23" s="38" t="s">
        <v>713</v>
      </c>
      <c r="C23" s="38" t="s">
        <v>714</v>
      </c>
      <c r="D23" s="631">
        <v>1</v>
      </c>
      <c r="E23" s="632">
        <v>15</v>
      </c>
      <c r="F23" s="426" t="s">
        <v>117</v>
      </c>
      <c r="G23" s="633">
        <v>2407</v>
      </c>
      <c r="H23" s="646"/>
      <c r="I23" s="633"/>
      <c r="J23" s="633">
        <f t="shared" si="0"/>
        <v>2407</v>
      </c>
      <c r="K23" s="634">
        <v>0.16</v>
      </c>
      <c r="L23" s="633">
        <v>0</v>
      </c>
      <c r="M23" s="633">
        <v>48</v>
      </c>
      <c r="N23" s="637">
        <v>20</v>
      </c>
    </row>
    <row r="24" spans="1:14" s="44" customFormat="1" ht="49.5" customHeight="1">
      <c r="A24" s="614">
        <v>18</v>
      </c>
      <c r="B24" s="38" t="s">
        <v>716</v>
      </c>
      <c r="C24" s="38" t="s">
        <v>717</v>
      </c>
      <c r="D24" s="631">
        <v>6.78</v>
      </c>
      <c r="E24" s="632">
        <v>64</v>
      </c>
      <c r="F24" s="426" t="s">
        <v>81</v>
      </c>
      <c r="G24" s="633">
        <v>52009</v>
      </c>
      <c r="H24" s="645" t="s">
        <v>97</v>
      </c>
      <c r="I24" s="633">
        <v>7046</v>
      </c>
      <c r="J24" s="633">
        <f t="shared" si="0"/>
        <v>59055</v>
      </c>
      <c r="K24" s="634">
        <v>9</v>
      </c>
      <c r="L24" s="633">
        <v>0</v>
      </c>
      <c r="M24" s="633">
        <v>42</v>
      </c>
      <c r="N24" s="637">
        <v>400</v>
      </c>
    </row>
    <row r="25" spans="1:14" s="44" customFormat="1" ht="49.5" customHeight="1">
      <c r="A25" s="614">
        <v>19</v>
      </c>
      <c r="B25" s="38" t="s">
        <v>719</v>
      </c>
      <c r="C25" s="38" t="s">
        <v>721</v>
      </c>
      <c r="D25" s="631">
        <v>0.52</v>
      </c>
      <c r="E25" s="632">
        <v>76</v>
      </c>
      <c r="F25" s="426" t="s">
        <v>118</v>
      </c>
      <c r="G25" s="633">
        <v>5219</v>
      </c>
      <c r="H25" s="421"/>
      <c r="I25" s="633"/>
      <c r="J25" s="633">
        <f t="shared" si="0"/>
        <v>5219</v>
      </c>
      <c r="K25" s="634">
        <v>0</v>
      </c>
      <c r="L25" s="633">
        <v>0</v>
      </c>
      <c r="M25" s="633">
        <v>50</v>
      </c>
      <c r="N25" s="637">
        <v>0</v>
      </c>
    </row>
    <row r="26" spans="1:14" s="44" customFormat="1" ht="49.5" customHeight="1">
      <c r="A26" s="614">
        <v>20</v>
      </c>
      <c r="B26" s="38" t="s">
        <v>720</v>
      </c>
      <c r="C26" s="38" t="s">
        <v>722</v>
      </c>
      <c r="D26" s="631">
        <v>1.5</v>
      </c>
      <c r="E26" s="632">
        <v>32</v>
      </c>
      <c r="F26" s="426" t="s">
        <v>86</v>
      </c>
      <c r="G26" s="633">
        <v>19479</v>
      </c>
      <c r="H26" s="421"/>
      <c r="I26" s="633"/>
      <c r="J26" s="633">
        <f t="shared" si="0"/>
        <v>19479</v>
      </c>
      <c r="K26" s="634">
        <v>1</v>
      </c>
      <c r="L26" s="633">
        <v>0</v>
      </c>
      <c r="M26" s="633">
        <v>63</v>
      </c>
      <c r="N26" s="637">
        <v>50</v>
      </c>
    </row>
    <row r="27" spans="1:14" s="44" customFormat="1" ht="49.5" customHeight="1">
      <c r="A27" s="614">
        <v>21</v>
      </c>
      <c r="B27" s="38" t="s">
        <v>723</v>
      </c>
      <c r="C27" s="38" t="s">
        <v>689</v>
      </c>
      <c r="D27" s="631">
        <v>0.94</v>
      </c>
      <c r="E27" s="632">
        <v>247</v>
      </c>
      <c r="F27" s="426" t="s">
        <v>87</v>
      </c>
      <c r="G27" s="633">
        <v>12352</v>
      </c>
      <c r="H27" s="421"/>
      <c r="I27" s="633"/>
      <c r="J27" s="633">
        <f t="shared" si="0"/>
        <v>12352</v>
      </c>
      <c r="K27" s="634">
        <v>0.8</v>
      </c>
      <c r="L27" s="633">
        <v>0</v>
      </c>
      <c r="M27" s="633">
        <v>61</v>
      </c>
      <c r="N27" s="637">
        <v>43</v>
      </c>
    </row>
    <row r="28" spans="1:14" s="44" customFormat="1" ht="49.5" customHeight="1">
      <c r="A28" s="614">
        <v>22</v>
      </c>
      <c r="B28" s="38" t="s">
        <v>724</v>
      </c>
      <c r="C28" s="38" t="s">
        <v>689</v>
      </c>
      <c r="D28" s="631">
        <v>1.56</v>
      </c>
      <c r="E28" s="632">
        <v>15</v>
      </c>
      <c r="F28" s="426" t="s">
        <v>88</v>
      </c>
      <c r="G28" s="633">
        <v>2602</v>
      </c>
      <c r="H28" s="646"/>
      <c r="I28" s="633"/>
      <c r="J28" s="633">
        <f t="shared" si="0"/>
        <v>2602</v>
      </c>
      <c r="K28" s="634">
        <v>0.94</v>
      </c>
      <c r="L28" s="633">
        <v>0</v>
      </c>
      <c r="M28" s="633">
        <v>46</v>
      </c>
      <c r="N28" s="637">
        <v>50</v>
      </c>
    </row>
    <row r="29" spans="1:14" s="44" customFormat="1" ht="49.5" customHeight="1">
      <c r="A29" s="614">
        <v>23</v>
      </c>
      <c r="B29" s="38" t="s">
        <v>726</v>
      </c>
      <c r="C29" s="38" t="s">
        <v>689</v>
      </c>
      <c r="D29" s="631">
        <v>1.72</v>
      </c>
      <c r="E29" s="632">
        <v>15</v>
      </c>
      <c r="F29" s="426"/>
      <c r="G29" s="633"/>
      <c r="H29" s="645" t="s">
        <v>89</v>
      </c>
      <c r="I29" s="633">
        <v>14300</v>
      </c>
      <c r="J29" s="633">
        <f t="shared" si="0"/>
        <v>14300</v>
      </c>
      <c r="K29" s="634">
        <v>1.12</v>
      </c>
      <c r="L29" s="633">
        <v>0</v>
      </c>
      <c r="M29" s="633">
        <v>55</v>
      </c>
      <c r="N29" s="637">
        <v>50</v>
      </c>
    </row>
    <row r="30" spans="1:14" s="44" customFormat="1" ht="49.5" customHeight="1">
      <c r="A30" s="614">
        <v>24</v>
      </c>
      <c r="B30" s="38" t="s">
        <v>727</v>
      </c>
      <c r="C30" s="38" t="s">
        <v>689</v>
      </c>
      <c r="D30" s="631">
        <v>2.3</v>
      </c>
      <c r="E30" s="632">
        <v>15</v>
      </c>
      <c r="F30" s="421" t="s">
        <v>90</v>
      </c>
      <c r="G30" s="633">
        <v>3003</v>
      </c>
      <c r="H30" s="645" t="s">
        <v>91</v>
      </c>
      <c r="I30" s="633">
        <v>10748</v>
      </c>
      <c r="J30" s="633">
        <f t="shared" si="0"/>
        <v>13751</v>
      </c>
      <c r="K30" s="634">
        <v>0.8</v>
      </c>
      <c r="L30" s="633">
        <v>0</v>
      </c>
      <c r="M30" s="633">
        <v>30</v>
      </c>
      <c r="N30" s="637">
        <v>30</v>
      </c>
    </row>
    <row r="31" spans="1:14" s="44" customFormat="1" ht="49.5" customHeight="1">
      <c r="A31" s="614">
        <v>25</v>
      </c>
      <c r="B31" s="38" t="s">
        <v>728</v>
      </c>
      <c r="C31" s="38" t="s">
        <v>689</v>
      </c>
      <c r="D31" s="631">
        <v>7.98</v>
      </c>
      <c r="E31" s="632">
        <v>15</v>
      </c>
      <c r="F31" s="421" t="s">
        <v>119</v>
      </c>
      <c r="G31" s="633">
        <v>56125</v>
      </c>
      <c r="H31" s="645" t="s">
        <v>92</v>
      </c>
      <c r="I31" s="633">
        <v>600</v>
      </c>
      <c r="J31" s="633">
        <f t="shared" si="0"/>
        <v>56725</v>
      </c>
      <c r="K31" s="634">
        <v>8.76</v>
      </c>
      <c r="L31" s="633">
        <v>0</v>
      </c>
      <c r="M31" s="633">
        <v>66</v>
      </c>
      <c r="N31" s="637">
        <v>400</v>
      </c>
    </row>
    <row r="32" spans="1:14" s="44" customFormat="1" ht="49.5" customHeight="1">
      <c r="A32" s="614">
        <v>26</v>
      </c>
      <c r="B32" s="38" t="s">
        <v>729</v>
      </c>
      <c r="C32" s="38" t="s">
        <v>730</v>
      </c>
      <c r="D32" s="631">
        <v>6.45</v>
      </c>
      <c r="E32" s="632">
        <v>15</v>
      </c>
      <c r="F32" s="426" t="s">
        <v>93</v>
      </c>
      <c r="G32" s="633">
        <v>39100</v>
      </c>
      <c r="H32" s="645" t="s">
        <v>94</v>
      </c>
      <c r="I32" s="633">
        <v>8871</v>
      </c>
      <c r="J32" s="633">
        <f t="shared" si="0"/>
        <v>47971</v>
      </c>
      <c r="K32" s="634">
        <v>9.2</v>
      </c>
      <c r="L32" s="633">
        <v>0</v>
      </c>
      <c r="M32" s="633">
        <v>58</v>
      </c>
      <c r="N32" s="637">
        <v>157</v>
      </c>
    </row>
    <row r="33" spans="1:14" s="44" customFormat="1" ht="49.5" customHeight="1">
      <c r="A33" s="614">
        <v>27</v>
      </c>
      <c r="B33" s="38" t="s">
        <v>732</v>
      </c>
      <c r="C33" s="38" t="s">
        <v>700</v>
      </c>
      <c r="D33" s="631">
        <v>6.45</v>
      </c>
      <c r="E33" s="632">
        <v>15</v>
      </c>
      <c r="F33" s="426" t="s">
        <v>98</v>
      </c>
      <c r="G33" s="633">
        <v>39940</v>
      </c>
      <c r="H33" s="645" t="s">
        <v>95</v>
      </c>
      <c r="I33" s="633">
        <v>4600</v>
      </c>
      <c r="J33" s="633">
        <f t="shared" si="0"/>
        <v>44540</v>
      </c>
      <c r="K33" s="634">
        <v>11.57</v>
      </c>
      <c r="L33" s="633">
        <v>0</v>
      </c>
      <c r="M33" s="633">
        <v>49</v>
      </c>
      <c r="N33" s="637">
        <v>0</v>
      </c>
    </row>
    <row r="34" spans="1:14" s="61" customFormat="1" ht="49.5" customHeight="1">
      <c r="A34" s="616">
        <v>28</v>
      </c>
      <c r="B34" s="60" t="s">
        <v>758</v>
      </c>
      <c r="C34" s="60" t="s">
        <v>748</v>
      </c>
      <c r="D34" s="647">
        <v>3.61</v>
      </c>
      <c r="E34" s="648">
        <v>101.56</v>
      </c>
      <c r="F34" s="649" t="s">
        <v>801</v>
      </c>
      <c r="G34" s="650">
        <v>40030</v>
      </c>
      <c r="H34" s="651"/>
      <c r="I34" s="650"/>
      <c r="J34" s="650">
        <f t="shared" si="0"/>
        <v>40030</v>
      </c>
      <c r="K34" s="652">
        <v>3.3</v>
      </c>
      <c r="L34" s="652">
        <v>0</v>
      </c>
      <c r="M34" s="652">
        <v>93</v>
      </c>
      <c r="N34" s="653">
        <v>0</v>
      </c>
    </row>
    <row r="35" spans="1:14" s="44" customFormat="1" ht="49.5" customHeight="1">
      <c r="A35" s="614">
        <v>29</v>
      </c>
      <c r="B35" s="38" t="s">
        <v>759</v>
      </c>
      <c r="C35" s="46" t="s">
        <v>689</v>
      </c>
      <c r="D35" s="631">
        <v>0.12</v>
      </c>
      <c r="E35" s="632">
        <v>15</v>
      </c>
      <c r="F35" s="426"/>
      <c r="G35" s="633"/>
      <c r="H35" s="421" t="s">
        <v>803</v>
      </c>
      <c r="I35" s="633">
        <v>2815</v>
      </c>
      <c r="J35" s="633">
        <f t="shared" si="0"/>
        <v>2815</v>
      </c>
      <c r="K35" s="634">
        <v>0.1</v>
      </c>
      <c r="L35" s="635"/>
      <c r="M35" s="633">
        <v>50</v>
      </c>
      <c r="N35" s="637">
        <v>20</v>
      </c>
    </row>
    <row r="36" spans="1:14" s="44" customFormat="1" ht="49.5" customHeight="1">
      <c r="A36" s="614">
        <v>30</v>
      </c>
      <c r="B36" s="38" t="s">
        <v>759</v>
      </c>
      <c r="C36" s="46" t="s">
        <v>689</v>
      </c>
      <c r="D36" s="631">
        <v>0.07</v>
      </c>
      <c r="E36" s="632">
        <v>15</v>
      </c>
      <c r="F36" s="426"/>
      <c r="G36" s="633"/>
      <c r="H36" s="421" t="s">
        <v>804</v>
      </c>
      <c r="I36" s="633">
        <v>1780</v>
      </c>
      <c r="J36" s="633">
        <f t="shared" si="0"/>
        <v>1780</v>
      </c>
      <c r="K36" s="634">
        <v>0.1</v>
      </c>
      <c r="L36" s="635"/>
      <c r="M36" s="633">
        <v>50</v>
      </c>
      <c r="N36" s="637">
        <v>20</v>
      </c>
    </row>
    <row r="37" spans="1:14" s="44" customFormat="1" ht="49.5" customHeight="1">
      <c r="A37" s="614">
        <v>31</v>
      </c>
      <c r="B37" s="38" t="s">
        <v>762</v>
      </c>
      <c r="C37" s="46" t="s">
        <v>689</v>
      </c>
      <c r="D37" s="631">
        <v>0.07</v>
      </c>
      <c r="E37" s="632">
        <v>15</v>
      </c>
      <c r="F37" s="426"/>
      <c r="G37" s="633"/>
      <c r="H37" s="421" t="s">
        <v>367</v>
      </c>
      <c r="I37" s="633">
        <v>1759</v>
      </c>
      <c r="J37" s="633">
        <f t="shared" si="0"/>
        <v>1759</v>
      </c>
      <c r="K37" s="634">
        <v>0.1</v>
      </c>
      <c r="L37" s="635"/>
      <c r="M37" s="633">
        <v>50</v>
      </c>
      <c r="N37" s="637">
        <v>20</v>
      </c>
    </row>
    <row r="38" spans="1:14" s="44" customFormat="1" ht="49.5" customHeight="1">
      <c r="A38" s="614">
        <v>32</v>
      </c>
      <c r="B38" s="38" t="s">
        <v>761</v>
      </c>
      <c r="C38" s="46" t="s">
        <v>689</v>
      </c>
      <c r="D38" s="631">
        <v>0.04</v>
      </c>
      <c r="E38" s="632">
        <v>15</v>
      </c>
      <c r="F38" s="426"/>
      <c r="G38" s="633"/>
      <c r="H38" s="421" t="s">
        <v>805</v>
      </c>
      <c r="I38" s="633">
        <v>914</v>
      </c>
      <c r="J38" s="633">
        <f t="shared" si="0"/>
        <v>914</v>
      </c>
      <c r="K38" s="634">
        <v>0.1</v>
      </c>
      <c r="L38" s="635"/>
      <c r="M38" s="633">
        <v>50</v>
      </c>
      <c r="N38" s="637">
        <v>20</v>
      </c>
    </row>
    <row r="39" spans="1:14" s="44" customFormat="1" ht="49.5" customHeight="1">
      <c r="A39" s="614">
        <v>33</v>
      </c>
      <c r="B39" s="46" t="s">
        <v>766</v>
      </c>
      <c r="C39" s="46" t="s">
        <v>767</v>
      </c>
      <c r="D39" s="654">
        <v>0.64</v>
      </c>
      <c r="E39" s="632">
        <v>150</v>
      </c>
      <c r="F39" s="655" t="s">
        <v>371</v>
      </c>
      <c r="G39" s="633">
        <v>21582</v>
      </c>
      <c r="H39" s="421"/>
      <c r="I39" s="634"/>
      <c r="J39" s="633">
        <f t="shared" si="0"/>
        <v>21582</v>
      </c>
      <c r="K39" s="634">
        <v>1.22</v>
      </c>
      <c r="L39" s="633">
        <v>0</v>
      </c>
      <c r="M39" s="633">
        <v>20</v>
      </c>
      <c r="N39" s="637">
        <v>28</v>
      </c>
    </row>
    <row r="40" spans="1:14" s="44" customFormat="1" ht="49.5" customHeight="1">
      <c r="A40" s="614">
        <v>34</v>
      </c>
      <c r="B40" s="48"/>
      <c r="C40" s="46" t="s">
        <v>780</v>
      </c>
      <c r="D40" s="654">
        <v>0.724</v>
      </c>
      <c r="E40" s="632">
        <v>150</v>
      </c>
      <c r="F40" s="655" t="s">
        <v>372</v>
      </c>
      <c r="G40" s="633">
        <v>26475</v>
      </c>
      <c r="H40" s="421"/>
      <c r="I40" s="634"/>
      <c r="J40" s="633">
        <f t="shared" si="0"/>
        <v>26475</v>
      </c>
      <c r="K40" s="634">
        <v>1.03</v>
      </c>
      <c r="L40" s="633">
        <v>0</v>
      </c>
      <c r="M40" s="633">
        <v>60</v>
      </c>
      <c r="N40" s="637">
        <v>28</v>
      </c>
    </row>
    <row r="41" spans="1:14" s="44" customFormat="1" ht="49.5" customHeight="1">
      <c r="A41" s="614">
        <v>35</v>
      </c>
      <c r="B41" s="48"/>
      <c r="C41" s="46" t="s">
        <v>781</v>
      </c>
      <c r="D41" s="654">
        <v>0.64</v>
      </c>
      <c r="E41" s="632">
        <v>150</v>
      </c>
      <c r="F41" s="655" t="s">
        <v>373</v>
      </c>
      <c r="G41" s="633">
        <v>17535</v>
      </c>
      <c r="H41" s="421"/>
      <c r="I41" s="634"/>
      <c r="J41" s="633">
        <f t="shared" si="0"/>
        <v>17535</v>
      </c>
      <c r="K41" s="634">
        <v>1.3</v>
      </c>
      <c r="L41" s="633">
        <v>0</v>
      </c>
      <c r="M41" s="633">
        <v>60</v>
      </c>
      <c r="N41" s="637">
        <v>28</v>
      </c>
    </row>
    <row r="42" spans="1:14" s="44" customFormat="1" ht="49.5" customHeight="1">
      <c r="A42" s="614">
        <v>36</v>
      </c>
      <c r="B42" s="48"/>
      <c r="C42" s="46" t="s">
        <v>782</v>
      </c>
      <c r="D42" s="654">
        <v>0.048</v>
      </c>
      <c r="E42" s="632">
        <v>150</v>
      </c>
      <c r="F42" s="426"/>
      <c r="G42" s="634"/>
      <c r="H42" s="645" t="s">
        <v>818</v>
      </c>
      <c r="I42" s="633">
        <v>1663</v>
      </c>
      <c r="J42" s="633">
        <f t="shared" si="0"/>
        <v>1663</v>
      </c>
      <c r="K42" s="634">
        <v>2.2</v>
      </c>
      <c r="L42" s="633">
        <v>0</v>
      </c>
      <c r="M42" s="633">
        <v>50</v>
      </c>
      <c r="N42" s="637">
        <v>28</v>
      </c>
    </row>
    <row r="43" spans="1:14" s="44" customFormat="1" ht="49.5" customHeight="1">
      <c r="A43" s="614">
        <v>37</v>
      </c>
      <c r="B43" s="48"/>
      <c r="C43" s="46" t="s">
        <v>783</v>
      </c>
      <c r="D43" s="654">
        <v>0.4</v>
      </c>
      <c r="E43" s="632">
        <v>190</v>
      </c>
      <c r="F43" s="426" t="s">
        <v>374</v>
      </c>
      <c r="G43" s="633">
        <v>21516</v>
      </c>
      <c r="H43" s="421"/>
      <c r="I43" s="634"/>
      <c r="J43" s="633">
        <f t="shared" si="0"/>
        <v>21516</v>
      </c>
      <c r="K43" s="634">
        <v>1.2</v>
      </c>
      <c r="L43" s="633">
        <v>0</v>
      </c>
      <c r="M43" s="633">
        <v>50</v>
      </c>
      <c r="N43" s="637">
        <v>190</v>
      </c>
    </row>
    <row r="44" spans="1:14" s="44" customFormat="1" ht="49.5" customHeight="1">
      <c r="A44" s="614">
        <v>38</v>
      </c>
      <c r="B44" s="48"/>
      <c r="C44" s="46" t="s">
        <v>785</v>
      </c>
      <c r="D44" s="654">
        <v>0.8</v>
      </c>
      <c r="E44" s="632">
        <v>150</v>
      </c>
      <c r="F44" s="655" t="s">
        <v>375</v>
      </c>
      <c r="G44" s="633">
        <v>38934</v>
      </c>
      <c r="H44" s="421"/>
      <c r="I44" s="634"/>
      <c r="J44" s="633">
        <f t="shared" si="0"/>
        <v>38934</v>
      </c>
      <c r="K44" s="634">
        <v>2.1</v>
      </c>
      <c r="L44" s="633">
        <v>0</v>
      </c>
      <c r="M44" s="633">
        <v>50</v>
      </c>
      <c r="N44" s="637">
        <v>150</v>
      </c>
    </row>
    <row r="45" spans="1:14" s="44" customFormat="1" ht="49.5" customHeight="1">
      <c r="A45" s="614">
        <v>39</v>
      </c>
      <c r="B45" s="38" t="s">
        <v>793</v>
      </c>
      <c r="C45" s="38" t="s">
        <v>734</v>
      </c>
      <c r="D45" s="631">
        <v>9.6</v>
      </c>
      <c r="E45" s="632">
        <v>850</v>
      </c>
      <c r="F45" s="426" t="s">
        <v>376</v>
      </c>
      <c r="G45" s="633">
        <v>26016.6</v>
      </c>
      <c r="H45" s="154"/>
      <c r="I45" s="633"/>
      <c r="J45" s="633">
        <f t="shared" si="0"/>
        <v>26016.6</v>
      </c>
      <c r="K45" s="634">
        <v>3.6</v>
      </c>
      <c r="L45" s="634">
        <v>0.98</v>
      </c>
      <c r="M45" s="633">
        <v>53</v>
      </c>
      <c r="N45" s="637">
        <v>570</v>
      </c>
    </row>
    <row r="46" spans="1:14" s="44" customFormat="1" ht="49.5" customHeight="1">
      <c r="A46" s="614">
        <v>40</v>
      </c>
      <c r="B46" s="38"/>
      <c r="C46" s="38" t="s">
        <v>693</v>
      </c>
      <c r="D46" s="654">
        <v>8.1</v>
      </c>
      <c r="E46" s="632">
        <v>792</v>
      </c>
      <c r="F46" s="655" t="s">
        <v>377</v>
      </c>
      <c r="G46" s="633">
        <v>50826</v>
      </c>
      <c r="H46" s="421"/>
      <c r="I46" s="633"/>
      <c r="J46" s="633">
        <f t="shared" si="0"/>
        <v>50826</v>
      </c>
      <c r="K46" s="634">
        <v>2.8</v>
      </c>
      <c r="L46" s="634">
        <v>4.21</v>
      </c>
      <c r="M46" s="633">
        <v>39</v>
      </c>
      <c r="N46" s="637">
        <v>363</v>
      </c>
    </row>
    <row r="47" spans="1:14" s="44" customFormat="1" ht="49.5" customHeight="1">
      <c r="A47" s="614">
        <v>41</v>
      </c>
      <c r="B47" s="38"/>
      <c r="C47" s="38" t="s">
        <v>797</v>
      </c>
      <c r="D47" s="631">
        <v>3.8</v>
      </c>
      <c r="E47" s="632">
        <v>810</v>
      </c>
      <c r="F47" s="655" t="s">
        <v>378</v>
      </c>
      <c r="G47" s="633">
        <v>27114</v>
      </c>
      <c r="H47" s="421"/>
      <c r="I47" s="633"/>
      <c r="J47" s="633">
        <f t="shared" si="0"/>
        <v>27114</v>
      </c>
      <c r="K47" s="634">
        <v>2.9</v>
      </c>
      <c r="L47" s="633"/>
      <c r="M47" s="633">
        <v>34</v>
      </c>
      <c r="N47" s="637">
        <v>300</v>
      </c>
    </row>
    <row r="48" spans="1:14" s="44" customFormat="1" ht="59.25" customHeight="1">
      <c r="A48" s="614">
        <v>42</v>
      </c>
      <c r="B48" s="38"/>
      <c r="C48" s="38" t="s">
        <v>426</v>
      </c>
      <c r="D48" s="631">
        <v>6.3</v>
      </c>
      <c r="E48" s="632">
        <v>1358</v>
      </c>
      <c r="F48" s="426" t="s">
        <v>436</v>
      </c>
      <c r="G48" s="633">
        <v>62539</v>
      </c>
      <c r="H48" s="154"/>
      <c r="I48" s="633"/>
      <c r="J48" s="633">
        <f t="shared" si="0"/>
        <v>62539</v>
      </c>
      <c r="K48" s="634">
        <v>4.36</v>
      </c>
      <c r="L48" s="634">
        <v>2.38</v>
      </c>
      <c r="M48" s="633">
        <v>75</v>
      </c>
      <c r="N48" s="637">
        <v>1342</v>
      </c>
    </row>
    <row r="49" spans="1:14" s="44" customFormat="1" ht="53.25" customHeight="1">
      <c r="A49" s="614">
        <v>43</v>
      </c>
      <c r="B49" s="38"/>
      <c r="C49" s="38" t="s">
        <v>428</v>
      </c>
      <c r="D49" s="631">
        <v>6</v>
      </c>
      <c r="E49" s="632">
        <v>1050</v>
      </c>
      <c r="F49" s="655" t="s">
        <v>440</v>
      </c>
      <c r="G49" s="633">
        <v>60974</v>
      </c>
      <c r="H49" s="646"/>
      <c r="I49" s="633"/>
      <c r="J49" s="633">
        <f t="shared" si="0"/>
        <v>60974</v>
      </c>
      <c r="K49" s="634">
        <v>2.3</v>
      </c>
      <c r="L49" s="633">
        <v>0</v>
      </c>
      <c r="M49" s="633">
        <v>76</v>
      </c>
      <c r="N49" s="637">
        <v>593</v>
      </c>
    </row>
    <row r="50" spans="1:14" s="44" customFormat="1" ht="63" customHeight="1">
      <c r="A50" s="614">
        <v>44</v>
      </c>
      <c r="B50" s="38"/>
      <c r="C50" s="38" t="s">
        <v>429</v>
      </c>
      <c r="D50" s="631">
        <v>5.86</v>
      </c>
      <c r="E50" s="632">
        <v>991</v>
      </c>
      <c r="F50" s="426" t="s">
        <v>437</v>
      </c>
      <c r="G50" s="633">
        <v>67401</v>
      </c>
      <c r="H50" s="646"/>
      <c r="I50" s="633"/>
      <c r="J50" s="633">
        <f t="shared" si="0"/>
        <v>67401</v>
      </c>
      <c r="K50" s="634">
        <v>2.8</v>
      </c>
      <c r="L50" s="633">
        <v>0</v>
      </c>
      <c r="M50" s="633">
        <v>68</v>
      </c>
      <c r="N50" s="637">
        <v>644</v>
      </c>
    </row>
    <row r="51" spans="1:14" s="44" customFormat="1" ht="55.5" customHeight="1">
      <c r="A51" s="614">
        <v>45</v>
      </c>
      <c r="B51" s="38"/>
      <c r="C51" s="38" t="s">
        <v>430</v>
      </c>
      <c r="D51" s="631">
        <v>5.55</v>
      </c>
      <c r="E51" s="632">
        <v>1210</v>
      </c>
      <c r="F51" s="426" t="s">
        <v>422</v>
      </c>
      <c r="G51" s="633">
        <v>45164</v>
      </c>
      <c r="H51" s="646"/>
      <c r="I51" s="633"/>
      <c r="J51" s="633">
        <f t="shared" si="0"/>
        <v>45164</v>
      </c>
      <c r="K51" s="634">
        <v>5.8</v>
      </c>
      <c r="L51" s="633">
        <v>0</v>
      </c>
      <c r="M51" s="633">
        <v>55</v>
      </c>
      <c r="N51" s="637">
        <v>1085</v>
      </c>
    </row>
    <row r="52" spans="1:14" s="44" customFormat="1" ht="55.5" customHeight="1">
      <c r="A52" s="614">
        <v>46</v>
      </c>
      <c r="B52" s="38"/>
      <c r="C52" s="38" t="s">
        <v>432</v>
      </c>
      <c r="D52" s="631">
        <v>1.31</v>
      </c>
      <c r="E52" s="632">
        <v>689</v>
      </c>
      <c r="F52" s="655" t="s">
        <v>381</v>
      </c>
      <c r="G52" s="633">
        <v>8366</v>
      </c>
      <c r="H52" s="645"/>
      <c r="I52" s="633"/>
      <c r="J52" s="633">
        <f t="shared" si="0"/>
        <v>8366</v>
      </c>
      <c r="K52" s="634">
        <v>1.1</v>
      </c>
      <c r="L52" s="634">
        <v>0.52</v>
      </c>
      <c r="M52" s="633">
        <v>46</v>
      </c>
      <c r="N52" s="637">
        <v>170</v>
      </c>
    </row>
    <row r="53" spans="1:14" s="44" customFormat="1" ht="49.5" customHeight="1">
      <c r="A53" s="614">
        <v>47</v>
      </c>
      <c r="B53" s="38"/>
      <c r="C53" s="38" t="s">
        <v>748</v>
      </c>
      <c r="D53" s="631">
        <v>6.1</v>
      </c>
      <c r="E53" s="632">
        <v>1283</v>
      </c>
      <c r="F53" s="426" t="s">
        <v>417</v>
      </c>
      <c r="G53" s="633"/>
      <c r="H53" s="645" t="s">
        <v>434</v>
      </c>
      <c r="I53" s="633">
        <v>930</v>
      </c>
      <c r="J53" s="633">
        <f t="shared" si="0"/>
        <v>930</v>
      </c>
      <c r="K53" s="634">
        <v>4.4</v>
      </c>
      <c r="L53" s="634">
        <v>0.4</v>
      </c>
      <c r="M53" s="633">
        <v>70</v>
      </c>
      <c r="N53" s="637">
        <v>1051</v>
      </c>
    </row>
    <row r="54" spans="1:14" s="44" customFormat="1" ht="49.5" customHeight="1">
      <c r="A54" s="614">
        <v>48</v>
      </c>
      <c r="B54" s="38"/>
      <c r="C54" s="38" t="s">
        <v>425</v>
      </c>
      <c r="D54" s="631">
        <v>2.52</v>
      </c>
      <c r="E54" s="632">
        <v>459</v>
      </c>
      <c r="F54" s="426"/>
      <c r="G54" s="633"/>
      <c r="H54" s="645" t="s">
        <v>439</v>
      </c>
      <c r="I54" s="633">
        <v>16117</v>
      </c>
      <c r="J54" s="633">
        <f t="shared" si="0"/>
        <v>16117</v>
      </c>
      <c r="K54" s="634">
        <v>0.95</v>
      </c>
      <c r="L54" s="634">
        <v>1.07</v>
      </c>
      <c r="M54" s="633">
        <v>32</v>
      </c>
      <c r="N54" s="637">
        <v>102</v>
      </c>
    </row>
    <row r="55" spans="1:53" s="44" customFormat="1" ht="60.75" customHeight="1">
      <c r="A55" s="614">
        <v>49</v>
      </c>
      <c r="B55" s="43"/>
      <c r="C55" s="38" t="s">
        <v>443</v>
      </c>
      <c r="D55" s="631">
        <v>5.76</v>
      </c>
      <c r="E55" s="632">
        <v>1000</v>
      </c>
      <c r="F55" s="426" t="s">
        <v>418</v>
      </c>
      <c r="G55" s="633">
        <v>33765</v>
      </c>
      <c r="H55" s="645"/>
      <c r="I55" s="633"/>
      <c r="J55" s="633">
        <f t="shared" si="0"/>
        <v>33765</v>
      </c>
      <c r="K55" s="634">
        <v>4.43</v>
      </c>
      <c r="L55" s="633">
        <v>0</v>
      </c>
      <c r="M55" s="633">
        <v>63</v>
      </c>
      <c r="N55" s="637">
        <v>630</v>
      </c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</row>
    <row r="56" spans="1:53" s="44" customFormat="1" ht="55.5" customHeight="1">
      <c r="A56" s="614">
        <v>50</v>
      </c>
      <c r="B56" s="38"/>
      <c r="C56" s="38" t="s">
        <v>448</v>
      </c>
      <c r="D56" s="631">
        <v>5.76</v>
      </c>
      <c r="E56" s="632">
        <v>1105</v>
      </c>
      <c r="F56" s="426" t="s">
        <v>419</v>
      </c>
      <c r="G56" s="633">
        <v>66074</v>
      </c>
      <c r="H56" s="646"/>
      <c r="I56" s="656"/>
      <c r="J56" s="633">
        <f t="shared" si="0"/>
        <v>66074</v>
      </c>
      <c r="K56" s="634">
        <v>4.75</v>
      </c>
      <c r="L56" s="633">
        <v>0</v>
      </c>
      <c r="M56" s="633">
        <v>29</v>
      </c>
      <c r="N56" s="637">
        <v>420</v>
      </c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</row>
    <row r="57" spans="1:53" s="44" customFormat="1" ht="55.5" customHeight="1">
      <c r="A57" s="614">
        <v>51</v>
      </c>
      <c r="B57" s="38"/>
      <c r="C57" s="38" t="s">
        <v>451</v>
      </c>
      <c r="D57" s="631">
        <v>4.32</v>
      </c>
      <c r="E57" s="632">
        <v>989</v>
      </c>
      <c r="F57" s="426" t="s">
        <v>46</v>
      </c>
      <c r="G57" s="633">
        <v>47774</v>
      </c>
      <c r="H57" s="646"/>
      <c r="I57" s="633"/>
      <c r="J57" s="633">
        <f t="shared" si="0"/>
        <v>47774</v>
      </c>
      <c r="K57" s="634">
        <v>3.94</v>
      </c>
      <c r="L57" s="634">
        <v>3.31</v>
      </c>
      <c r="M57" s="633">
        <v>50</v>
      </c>
      <c r="N57" s="637">
        <v>450</v>
      </c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</row>
    <row r="58" spans="1:53" s="44" customFormat="1" ht="55.5" customHeight="1">
      <c r="A58" s="614">
        <v>52</v>
      </c>
      <c r="B58" s="38"/>
      <c r="C58" s="38" t="s">
        <v>452</v>
      </c>
      <c r="D58" s="631">
        <v>5.04</v>
      </c>
      <c r="E58" s="632">
        <v>995</v>
      </c>
      <c r="F58" s="426" t="s">
        <v>47</v>
      </c>
      <c r="G58" s="633">
        <v>25185</v>
      </c>
      <c r="H58" s="646"/>
      <c r="I58" s="633"/>
      <c r="J58" s="633">
        <f t="shared" si="0"/>
        <v>25185</v>
      </c>
      <c r="K58" s="634">
        <v>2.98</v>
      </c>
      <c r="L58" s="634">
        <v>2.26</v>
      </c>
      <c r="M58" s="633">
        <v>34</v>
      </c>
      <c r="N58" s="637">
        <v>300</v>
      </c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</row>
    <row r="59" spans="1:53" s="44" customFormat="1" ht="64.5" customHeight="1">
      <c r="A59" s="614">
        <v>53</v>
      </c>
      <c r="B59" s="38"/>
      <c r="C59" s="38" t="s">
        <v>455</v>
      </c>
      <c r="D59" s="631">
        <v>5.76</v>
      </c>
      <c r="E59" s="632">
        <v>1100</v>
      </c>
      <c r="F59" s="426" t="s">
        <v>420</v>
      </c>
      <c r="G59" s="633">
        <v>66092</v>
      </c>
      <c r="H59" s="646"/>
      <c r="I59" s="633"/>
      <c r="J59" s="633">
        <f t="shared" si="0"/>
        <v>66092</v>
      </c>
      <c r="K59" s="634">
        <v>3.3</v>
      </c>
      <c r="L59" s="657"/>
      <c r="M59" s="633">
        <v>52</v>
      </c>
      <c r="N59" s="637">
        <v>510</v>
      </c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</row>
    <row r="60" spans="1:53" s="44" customFormat="1" ht="49.5" customHeight="1">
      <c r="A60" s="614">
        <v>54</v>
      </c>
      <c r="B60" s="38" t="s">
        <v>453</v>
      </c>
      <c r="C60" s="38" t="s">
        <v>734</v>
      </c>
      <c r="D60" s="631">
        <v>5.6</v>
      </c>
      <c r="E60" s="632">
        <v>224</v>
      </c>
      <c r="F60" s="426" t="s">
        <v>421</v>
      </c>
      <c r="G60" s="633">
        <v>21529</v>
      </c>
      <c r="H60" s="646"/>
      <c r="I60" s="633"/>
      <c r="J60" s="633">
        <f t="shared" si="0"/>
        <v>21529</v>
      </c>
      <c r="K60" s="634">
        <v>3.6</v>
      </c>
      <c r="L60" s="634">
        <v>1.4</v>
      </c>
      <c r="M60" s="633">
        <v>28</v>
      </c>
      <c r="N60" s="637">
        <v>300</v>
      </c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</row>
    <row r="61" spans="1:53" s="58" customFormat="1" ht="156.75" customHeight="1">
      <c r="A61" s="617"/>
      <c r="B61" s="39" t="s">
        <v>99</v>
      </c>
      <c r="C61" s="39"/>
      <c r="D61" s="218">
        <f>SUM(D7:D60)</f>
        <v>161.35199999999995</v>
      </c>
      <c r="E61" s="218">
        <f aca="true" t="shared" si="1" ref="E61:J61">SUM(E7:E60)</f>
        <v>17052.559999999998</v>
      </c>
      <c r="F61" s="218">
        <f t="shared" si="1"/>
        <v>0</v>
      </c>
      <c r="G61" s="218">
        <f t="shared" si="1"/>
        <v>1118188.6</v>
      </c>
      <c r="H61" s="218">
        <f t="shared" si="1"/>
        <v>0</v>
      </c>
      <c r="I61" s="218">
        <f t="shared" si="1"/>
        <v>105415</v>
      </c>
      <c r="J61" s="218">
        <f t="shared" si="1"/>
        <v>1223603.6</v>
      </c>
      <c r="K61" s="218">
        <f>SUM(K7:K60)</f>
        <v>120.43999999999997</v>
      </c>
      <c r="L61" s="218">
        <f>SUM(L7:L60)</f>
        <v>16.53</v>
      </c>
      <c r="M61" s="218">
        <f>SUM(M7:M60)/A60</f>
        <v>51.25925925925926</v>
      </c>
      <c r="N61" s="658">
        <f>SUM(N7:N60)</f>
        <v>11312</v>
      </c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</row>
    <row r="62" spans="1:53" s="53" customFormat="1" ht="147.75" customHeight="1">
      <c r="A62" s="617"/>
      <c r="B62" s="613"/>
      <c r="C62" s="42"/>
      <c r="D62" s="659" t="s">
        <v>254</v>
      </c>
      <c r="E62" s="659" t="s">
        <v>253</v>
      </c>
      <c r="F62" s="660"/>
      <c r="G62" s="426"/>
      <c r="H62" s="421"/>
      <c r="I62" s="426"/>
      <c r="J62" s="633"/>
      <c r="K62" s="661" t="s">
        <v>256</v>
      </c>
      <c r="L62" s="426"/>
      <c r="M62" s="426"/>
      <c r="N62" s="662" t="s">
        <v>255</v>
      </c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</row>
    <row r="63" spans="1:53" s="53" customFormat="1" ht="49.5" customHeight="1" thickBot="1">
      <c r="A63" s="618"/>
      <c r="B63" s="619"/>
      <c r="C63" s="619"/>
      <c r="D63" s="663">
        <f>E61/D61*2</f>
        <v>211.3709157618127</v>
      </c>
      <c r="E63" s="664">
        <f>E61/J61*2</f>
        <v>0.02787268687342861</v>
      </c>
      <c r="F63" s="665"/>
      <c r="G63" s="666"/>
      <c r="H63" s="667"/>
      <c r="I63" s="666"/>
      <c r="J63" s="668"/>
      <c r="K63" s="669">
        <f>K61/A60</f>
        <v>2.2303703703703697</v>
      </c>
      <c r="L63" s="666"/>
      <c r="M63" s="666"/>
      <c r="N63" s="670">
        <f>N61/K61</f>
        <v>93.92228495516441</v>
      </c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</row>
    <row r="64" spans="15:53" ht="109.5" customHeight="1"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</row>
    <row r="65" spans="15:53" ht="25.5"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</row>
    <row r="66" spans="11:53" ht="25.5">
      <c r="K66" s="59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</row>
  </sheetData>
  <mergeCells count="13">
    <mergeCell ref="M4:M5"/>
    <mergeCell ref="N4:N5"/>
    <mergeCell ref="B4:B5"/>
    <mergeCell ref="C4:C5"/>
    <mergeCell ref="D4:D5"/>
    <mergeCell ref="E4:E5"/>
    <mergeCell ref="A1:N1"/>
    <mergeCell ref="A2:A6"/>
    <mergeCell ref="C2:E3"/>
    <mergeCell ref="G2:J3"/>
    <mergeCell ref="K2:N3"/>
    <mergeCell ref="K4:K5"/>
    <mergeCell ref="L4:L5"/>
  </mergeCells>
  <printOptions horizontalCentered="1"/>
  <pageMargins left="0" right="0" top="0" bottom="0" header="0" footer="0"/>
  <pageSetup fitToHeight="1" fitToWidth="1" horizontalDpi="300" verticalDpi="300" orientation="portrait" paperSize="8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1"/>
  <sheetViews>
    <sheetView view="pageBreakPreview" zoomScale="60" zoomScaleNormal="50" workbookViewId="0" topLeftCell="A1">
      <selection activeCell="C5" sqref="C5"/>
    </sheetView>
  </sheetViews>
  <sheetFormatPr defaultColWidth="9.00390625" defaultRowHeight="12.75"/>
  <cols>
    <col min="1" max="1" width="9.125" style="149" customWidth="1"/>
    <col min="2" max="2" width="41.875" style="149" customWidth="1"/>
    <col min="3" max="3" width="14.125" style="149" customWidth="1"/>
    <col min="4" max="4" width="15.875" style="149" customWidth="1"/>
    <col min="5" max="5" width="36.375" style="149" customWidth="1"/>
    <col min="6" max="10" width="30.75390625" style="149" customWidth="1"/>
    <col min="11" max="11" width="30.75390625" style="149" hidden="1" customWidth="1"/>
    <col min="12" max="13" width="30.75390625" style="149" customWidth="1"/>
    <col min="14" max="14" width="30.75390625" style="149" hidden="1" customWidth="1"/>
    <col min="15" max="15" width="30.75390625" style="149" customWidth="1"/>
    <col min="16" max="16" width="30.875" style="149" customWidth="1"/>
    <col min="17" max="17" width="31.125" style="149" customWidth="1"/>
    <col min="18" max="18" width="17.00390625" style="149" customWidth="1"/>
    <col min="19" max="16384" width="9.125" style="149" customWidth="1"/>
  </cols>
  <sheetData>
    <row r="1" spans="1:16" ht="71.25" customHeight="1" thickBot="1">
      <c r="A1" s="737" t="s">
        <v>464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  <c r="P1" s="732"/>
    </row>
    <row r="2" spans="1:16" ht="71.25" customHeight="1">
      <c r="A2" s="733" t="s">
        <v>143</v>
      </c>
      <c r="B2" s="735" t="s">
        <v>51</v>
      </c>
      <c r="C2" s="728" t="s">
        <v>53</v>
      </c>
      <c r="D2" s="729"/>
      <c r="E2" s="735" t="s">
        <v>524</v>
      </c>
      <c r="F2" s="728" t="s">
        <v>59</v>
      </c>
      <c r="G2" s="731"/>
      <c r="H2" s="714" t="s">
        <v>56</v>
      </c>
      <c r="I2" s="715"/>
      <c r="J2" s="728" t="s">
        <v>60</v>
      </c>
      <c r="K2" s="716"/>
      <c r="L2" s="717"/>
      <c r="M2" s="714" t="s">
        <v>133</v>
      </c>
      <c r="N2" s="716"/>
      <c r="O2" s="718"/>
      <c r="P2" s="513"/>
    </row>
    <row r="3" spans="1:15" ht="198.75" customHeight="1" thickBot="1">
      <c r="A3" s="734"/>
      <c r="B3" s="736"/>
      <c r="C3" s="159" t="s">
        <v>52</v>
      </c>
      <c r="D3" s="159" t="s">
        <v>54</v>
      </c>
      <c r="E3" s="730"/>
      <c r="F3" s="62" t="s">
        <v>55</v>
      </c>
      <c r="G3" s="62" t="s">
        <v>57</v>
      </c>
      <c r="H3" s="62" t="s">
        <v>55</v>
      </c>
      <c r="I3" s="62" t="s">
        <v>58</v>
      </c>
      <c r="J3" s="62" t="s">
        <v>55</v>
      </c>
      <c r="K3" s="62"/>
      <c r="L3" s="62" t="s">
        <v>61</v>
      </c>
      <c r="M3" s="62" t="s">
        <v>523</v>
      </c>
      <c r="N3" s="62" t="s">
        <v>399</v>
      </c>
      <c r="O3" s="150" t="s">
        <v>522</v>
      </c>
    </row>
    <row r="4" spans="1:27" s="153" customFormat="1" ht="49.5" customHeight="1">
      <c r="A4" s="216">
        <v>1</v>
      </c>
      <c r="B4" s="194" t="str">
        <f>'загальн.витрати'!B6</f>
        <v>м. Торез </v>
      </c>
      <c r="C4" s="194">
        <f>'исх.данные'!C15</f>
        <v>8</v>
      </c>
      <c r="D4" s="194">
        <v>0</v>
      </c>
      <c r="E4" s="194">
        <f>'загальн.витрати'!E6</f>
        <v>50474</v>
      </c>
      <c r="F4" s="194">
        <f>'загальн.витрати'!E6</f>
        <v>50474</v>
      </c>
      <c r="G4" s="194">
        <v>29</v>
      </c>
      <c r="H4" s="194"/>
      <c r="I4" s="194"/>
      <c r="J4" s="194"/>
      <c r="K4" s="194"/>
      <c r="L4" s="194"/>
      <c r="M4" s="194"/>
      <c r="N4" s="194"/>
      <c r="O4" s="217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</row>
    <row r="5" spans="1:27" s="153" customFormat="1" ht="49.5" customHeight="1">
      <c r="A5" s="166">
        <v>2</v>
      </c>
      <c r="B5" s="36" t="str">
        <f>'загальн.витрати'!B7</f>
        <v>м. Єнакієве </v>
      </c>
      <c r="C5" s="36">
        <f>'исх.данные'!C24</f>
        <v>3</v>
      </c>
      <c r="D5" s="36">
        <f>'исх.данные'!A23-'исх.данные'!C24</f>
        <v>0</v>
      </c>
      <c r="E5" s="36">
        <f>'загальн.витрати'!E7</f>
        <v>67315</v>
      </c>
      <c r="F5" s="36">
        <f>'исх.данные'!I17+'исх.данные'!I19+'исх.данные'!L18+'исх.данные'!L19+'исх.данные'!L20+'исх.данные'!L21+'исх.данные'!L22</f>
        <v>65545</v>
      </c>
      <c r="G5" s="36">
        <v>34</v>
      </c>
      <c r="H5" s="36"/>
      <c r="I5" s="36"/>
      <c r="J5" s="36"/>
      <c r="K5" s="36"/>
      <c r="L5" s="36"/>
      <c r="M5" s="36">
        <f>'исх.данные'!I23</f>
        <v>1770</v>
      </c>
      <c r="N5" s="36">
        <v>1</v>
      </c>
      <c r="O5" s="167">
        <f>M5/$C$27</f>
        <v>73.75</v>
      </c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</row>
    <row r="6" spans="1:27" s="153" customFormat="1" ht="49.5" customHeight="1">
      <c r="A6" s="166">
        <v>3</v>
      </c>
      <c r="B6" s="36" t="str">
        <f>'загальн.витрати'!B8</f>
        <v>м. Сніжне </v>
      </c>
      <c r="C6" s="36">
        <f>'исх.данные'!C31</f>
        <v>3</v>
      </c>
      <c r="D6" s="36">
        <v>2</v>
      </c>
      <c r="E6" s="36">
        <f>'загальн.витрати'!E8</f>
        <v>19096</v>
      </c>
      <c r="F6" s="36">
        <f>'исх.данные'!L31+'исх.данные'!I31</f>
        <v>19096</v>
      </c>
      <c r="G6" s="36">
        <v>8</v>
      </c>
      <c r="H6" s="36"/>
      <c r="I6" s="36"/>
      <c r="J6" s="36"/>
      <c r="K6" s="36"/>
      <c r="L6" s="36"/>
      <c r="M6" s="36"/>
      <c r="N6" s="36"/>
      <c r="O6" s="167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</row>
    <row r="7" spans="1:27" ht="66" customHeight="1">
      <c r="A7" s="166">
        <v>4</v>
      </c>
      <c r="B7" s="36" t="str">
        <f>'загальн.витрати'!B9</f>
        <v>м. Шахтарськ </v>
      </c>
      <c r="C7" s="36">
        <f>'исх.данные'!C53</f>
        <v>16</v>
      </c>
      <c r="D7" s="36">
        <f>'исх.данные'!A52-'исх.данные'!C53</f>
        <v>0</v>
      </c>
      <c r="E7" s="36">
        <f>'загальн.витрати'!E9</f>
        <v>46925</v>
      </c>
      <c r="F7" s="36">
        <f>'исх.данные'!L37+'исх.данные'!L38+'исх.данные'!L39+'исх.данные'!L40+'исх.данные'!L41+'исх.данные'!L42+'исх.данные'!L43+'исх.данные'!L44+'исх.данные'!L45+'исх.данные'!L46+'исх.данные'!L47+'исх.данные'!L48+'исх.данные'!L49+'исх.данные'!L50+'исх.данные'!L51+'исх.данные'!L52</f>
        <v>37463</v>
      </c>
      <c r="G7" s="36">
        <v>16</v>
      </c>
      <c r="H7" s="154"/>
      <c r="I7" s="36"/>
      <c r="J7" s="36"/>
      <c r="K7" s="36"/>
      <c r="L7" s="36"/>
      <c r="M7" s="36">
        <f>'исх.данные'!I33+'исх.данные'!I34+'исх.данные'!I35+'исх.данные'!I36</f>
        <v>9462</v>
      </c>
      <c r="N7" s="36">
        <v>4</v>
      </c>
      <c r="O7" s="167">
        <f>M7/$C$27</f>
        <v>394.25</v>
      </c>
      <c r="P7" s="152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</row>
    <row r="8" spans="1:27" ht="74.25" customHeight="1">
      <c r="A8" s="166">
        <v>5</v>
      </c>
      <c r="B8" s="36" t="str">
        <f>'загальн.витрати'!B10</f>
        <v>м. Новогродівка </v>
      </c>
      <c r="C8" s="36">
        <f>'исх.данные'!C67</f>
        <v>1</v>
      </c>
      <c r="D8" s="36">
        <v>0</v>
      </c>
      <c r="E8" s="36">
        <f>'загальн.витрати'!E10</f>
        <v>148074.3</v>
      </c>
      <c r="F8" s="36"/>
      <c r="G8" s="36"/>
      <c r="H8" s="36"/>
      <c r="I8" s="36"/>
      <c r="J8" s="36">
        <f>'исх.данные'!I55+'исх.данные'!L55</f>
        <v>109873</v>
      </c>
      <c r="K8" s="36">
        <v>1</v>
      </c>
      <c r="L8" s="36">
        <f>J8/$C$26</f>
        <v>36.62433333333333</v>
      </c>
      <c r="M8" s="36">
        <f>'исх.данные'!L56+'исх.данные'!L57+'исх.данные'!L58+'исх.данные'!L59+'исх.данные'!L60+'исх.данные'!L61+'исх.данные'!L62+'исх.данные'!L63+'исх.данные'!L64+'исх.данные'!L65+'исх.данные'!L66</f>
        <v>38201.3</v>
      </c>
      <c r="N8" s="36">
        <v>11</v>
      </c>
      <c r="O8" s="167">
        <f>M8/$C$27</f>
        <v>1591.7208333333335</v>
      </c>
      <c r="P8" s="152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</row>
    <row r="9" spans="1:27" ht="49.5" customHeight="1">
      <c r="A9" s="166">
        <v>6</v>
      </c>
      <c r="B9" s="36" t="str">
        <f>'загальн.витрати'!B11</f>
        <v>м. Дзержинськ </v>
      </c>
      <c r="C9" s="36">
        <f>'исх.данные'!C71</f>
        <v>2</v>
      </c>
      <c r="D9" s="36">
        <v>0</v>
      </c>
      <c r="E9" s="36">
        <f>'загальн.витрати'!E11</f>
        <v>4991</v>
      </c>
      <c r="F9" s="36"/>
      <c r="G9" s="36"/>
      <c r="H9" s="36"/>
      <c r="I9" s="36"/>
      <c r="J9" s="36">
        <f>'исх.данные'!L70</f>
        <v>2523</v>
      </c>
      <c r="K9" s="36">
        <v>1</v>
      </c>
      <c r="L9" s="36">
        <f>J9/$C$26</f>
        <v>0.841</v>
      </c>
      <c r="M9" s="36">
        <f>'исх.данные'!I69</f>
        <v>2468</v>
      </c>
      <c r="N9" s="36">
        <v>1</v>
      </c>
      <c r="O9" s="167">
        <f>M9/$C$27</f>
        <v>102.83333333333333</v>
      </c>
      <c r="P9" s="152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</row>
    <row r="10" spans="1:27" s="153" customFormat="1" ht="49.5" customHeight="1">
      <c r="A10" s="166">
        <v>7</v>
      </c>
      <c r="B10" s="36" t="str">
        <f>'загальн.витрати'!B12</f>
        <v>м. Дебальцеве </v>
      </c>
      <c r="C10" s="36">
        <f>'исх.данные'!C99</f>
        <v>26</v>
      </c>
      <c r="D10" s="36">
        <v>0</v>
      </c>
      <c r="E10" s="36">
        <f>'загальн.витрати'!E12</f>
        <v>449796</v>
      </c>
      <c r="F10" s="36"/>
      <c r="G10" s="36"/>
      <c r="H10" s="36">
        <f>'исх.данные'!I77+'исх.данные'!L77+'исх.данные'!I90+'исх.данные'!I88+'исх.данные'!L88+'исх.данные'!I96+'исх.данные'!L96+'исх.данные'!I97+'исх.данные'!L97+'исх.данные'!I98+'исх.данные'!L98</f>
        <v>264390</v>
      </c>
      <c r="I10" s="36">
        <v>6</v>
      </c>
      <c r="J10" s="36">
        <f>E10-H10</f>
        <v>185406</v>
      </c>
      <c r="K10" s="36">
        <v>20</v>
      </c>
      <c r="L10" s="36">
        <f>J10/$C$26</f>
        <v>61.802</v>
      </c>
      <c r="M10" s="36"/>
      <c r="N10" s="36"/>
      <c r="O10" s="167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</row>
    <row r="11" spans="1:27" ht="49.5" customHeight="1">
      <c r="A11" s="166">
        <v>8</v>
      </c>
      <c r="B11" s="36" t="str">
        <f>'загальн.витрати'!B13</f>
        <v>м. Зугрес </v>
      </c>
      <c r="C11" s="36">
        <v>1</v>
      </c>
      <c r="D11" s="36">
        <v>0</v>
      </c>
      <c r="E11" s="36">
        <f>'загальн.витрати'!E13</f>
        <v>269330</v>
      </c>
      <c r="F11" s="36">
        <f>'исх.данные'!M106+'исх.данные'!L107+'исх.данные'!L108+'исх.данные'!L109+'исх.данные'!L110+'исх.данные'!L111</f>
        <v>33547</v>
      </c>
      <c r="G11" s="36">
        <v>6</v>
      </c>
      <c r="H11" s="36"/>
      <c r="I11" s="36"/>
      <c r="J11" s="36">
        <f>E11-F11</f>
        <v>235783</v>
      </c>
      <c r="K11" s="36">
        <v>5</v>
      </c>
      <c r="L11" s="36">
        <f>J11/$C$26</f>
        <v>78.59433333333334</v>
      </c>
      <c r="M11" s="36"/>
      <c r="N11" s="36"/>
      <c r="O11" s="167"/>
      <c r="P11" s="152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</row>
    <row r="12" spans="1:27" ht="49.5" customHeight="1">
      <c r="A12" s="166">
        <v>9</v>
      </c>
      <c r="B12" s="36" t="str">
        <f>'загальн.витрати'!B15</f>
        <v>м. Українськ </v>
      </c>
      <c r="C12" s="36">
        <f>'исх.данные'!C121</f>
        <v>4</v>
      </c>
      <c r="D12" s="36">
        <v>0</v>
      </c>
      <c r="E12" s="36">
        <f>'загальн.витрати'!E15</f>
        <v>44973</v>
      </c>
      <c r="F12" s="36"/>
      <c r="G12" s="36"/>
      <c r="H12" s="36"/>
      <c r="I12" s="36"/>
      <c r="J12" s="36">
        <f>E12</f>
        <v>44973</v>
      </c>
      <c r="K12" s="36">
        <v>6</v>
      </c>
      <c r="L12" s="36">
        <f>J12/$C$26</f>
        <v>14.991</v>
      </c>
      <c r="M12" s="36"/>
      <c r="N12" s="36"/>
      <c r="O12" s="167"/>
      <c r="P12" s="152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</row>
    <row r="13" spans="1:27" ht="49.5" customHeight="1">
      <c r="A13" s="166">
        <v>10</v>
      </c>
      <c r="B13" s="36" t="str">
        <f>'загальн.витрати'!B16</f>
        <v>с. Курахівка </v>
      </c>
      <c r="C13" s="36">
        <v>4</v>
      </c>
      <c r="D13" s="36">
        <v>3</v>
      </c>
      <c r="E13" s="36">
        <f>'загальн.витрати'!E16</f>
        <v>8846</v>
      </c>
      <c r="F13" s="154"/>
      <c r="G13" s="154"/>
      <c r="H13" s="154"/>
      <c r="I13" s="154"/>
      <c r="J13" s="36">
        <f>E13</f>
        <v>8846</v>
      </c>
      <c r="K13" s="36">
        <v>7</v>
      </c>
      <c r="L13" s="36">
        <f>K13</f>
        <v>7</v>
      </c>
      <c r="M13" s="36"/>
      <c r="N13" s="154"/>
      <c r="O13" s="167"/>
      <c r="P13" s="152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</row>
    <row r="14" spans="1:27" ht="49.5" customHeight="1">
      <c r="A14" s="166">
        <v>11</v>
      </c>
      <c r="B14" s="36" t="str">
        <f>'загальн.витрати'!B17</f>
        <v>с. Гостре </v>
      </c>
      <c r="C14" s="36">
        <v>3</v>
      </c>
      <c r="D14" s="36">
        <v>1</v>
      </c>
      <c r="E14" s="36">
        <f>'загальн.витрати'!E17</f>
        <v>8462</v>
      </c>
      <c r="F14" s="154"/>
      <c r="G14" s="154"/>
      <c r="H14" s="154"/>
      <c r="I14" s="154"/>
      <c r="J14" s="36">
        <f>E14</f>
        <v>8462</v>
      </c>
      <c r="K14" s="36">
        <v>6</v>
      </c>
      <c r="L14" s="36">
        <f>K14</f>
        <v>6</v>
      </c>
      <c r="M14" s="36"/>
      <c r="N14" s="154"/>
      <c r="O14" s="167"/>
      <c r="P14" s="152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</row>
    <row r="15" spans="1:27" ht="49.5" customHeight="1">
      <c r="A15" s="166">
        <v>12</v>
      </c>
      <c r="B15" s="36" t="str">
        <f>'загальн.витрати'!B18</f>
        <v>с. Цукурине </v>
      </c>
      <c r="C15" s="36">
        <f>'исх.данные'!C150</f>
        <v>2</v>
      </c>
      <c r="D15" s="36">
        <v>8</v>
      </c>
      <c r="E15" s="36">
        <f>'загальн.витрати'!E18</f>
        <v>9886</v>
      </c>
      <c r="F15" s="156"/>
      <c r="G15" s="156"/>
      <c r="H15" s="156"/>
      <c r="I15" s="156"/>
      <c r="J15" s="36">
        <f>E15</f>
        <v>9886</v>
      </c>
      <c r="K15" s="156">
        <v>10</v>
      </c>
      <c r="L15" s="36">
        <f>K15</f>
        <v>10</v>
      </c>
      <c r="M15" s="36"/>
      <c r="N15" s="156"/>
      <c r="O15" s="167"/>
      <c r="P15" s="152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</row>
    <row r="16" spans="1:27" s="158" customFormat="1" ht="49.5" customHeight="1">
      <c r="A16" s="166">
        <v>13</v>
      </c>
      <c r="B16" s="36" t="str">
        <f>'загальн.витрати'!B19</f>
        <v>м. Гірник </v>
      </c>
      <c r="C16" s="36">
        <f>'исх.данные'!C160</f>
        <v>6</v>
      </c>
      <c r="D16" s="36">
        <v>0</v>
      </c>
      <c r="E16" s="36">
        <f>'загальн.витрати'!E19</f>
        <v>131986</v>
      </c>
      <c r="F16" s="156"/>
      <c r="G16" s="156"/>
      <c r="H16" s="156">
        <f>'исх.данные'!I153</f>
        <v>26475</v>
      </c>
      <c r="I16" s="156">
        <v>1</v>
      </c>
      <c r="J16" s="36">
        <f>E16-H16</f>
        <v>105511</v>
      </c>
      <c r="K16" s="156">
        <v>7</v>
      </c>
      <c r="L16" s="36">
        <f>J16/$C$26</f>
        <v>35.17033333333333</v>
      </c>
      <c r="M16" s="36"/>
      <c r="N16" s="156"/>
      <c r="O16" s="167"/>
      <c r="P16" s="152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</row>
    <row r="17" spans="1:27" ht="49.5" customHeight="1">
      <c r="A17" s="166">
        <v>14</v>
      </c>
      <c r="B17" s="36" t="str">
        <f>'загальн.витрати'!B20</f>
        <v>м. Родинське </v>
      </c>
      <c r="C17" s="36">
        <v>1</v>
      </c>
      <c r="D17" s="36">
        <v>0</v>
      </c>
      <c r="E17" s="36">
        <f>'загальн.витрати'!E20</f>
        <v>6918</v>
      </c>
      <c r="F17" s="36"/>
      <c r="G17" s="36"/>
      <c r="H17" s="36"/>
      <c r="I17" s="36"/>
      <c r="J17" s="36">
        <f>E17-M17</f>
        <v>819</v>
      </c>
      <c r="K17" s="36">
        <v>1</v>
      </c>
      <c r="L17" s="36">
        <v>1</v>
      </c>
      <c r="M17" s="36">
        <f>'исх.данные'!L164</f>
        <v>6099</v>
      </c>
      <c r="N17" s="36">
        <v>1</v>
      </c>
      <c r="O17" s="167">
        <f>M17/$C$27</f>
        <v>254.125</v>
      </c>
      <c r="P17" s="152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</row>
    <row r="18" spans="1:27" ht="49.5" customHeight="1">
      <c r="A18" s="166">
        <v>15</v>
      </c>
      <c r="B18" s="36" t="str">
        <f>'загальн.витрати'!B21</f>
        <v>м. Добропілля </v>
      </c>
      <c r="C18" s="36">
        <f>'исх.данные'!C242</f>
        <v>13</v>
      </c>
      <c r="D18" s="36">
        <v>0</v>
      </c>
      <c r="E18" s="36">
        <f>'загальн.витрати'!E21</f>
        <v>608552</v>
      </c>
      <c r="F18" s="36"/>
      <c r="G18" s="36"/>
      <c r="H18" s="36"/>
      <c r="I18" s="36"/>
      <c r="J18" s="152">
        <f>SUM('исх.данные'!L184:L191)+'исх.данные'!L203+'исх.данные'!L205+'исх.данные'!L206+'исх.данные'!L207+'исх.данные'!I211+'исх.данные'!L217+'исх.данные'!L218+'исх.данные'!L219+'исх.данные'!L220+'исх.данные'!L221+'исх.данные'!L222+'исх.данные'!L223+'исх.данные'!I224+'исх.данные'!L226+'исх.данные'!L228+'исх.данные'!L229+'исх.данные'!L230</f>
        <v>346210</v>
      </c>
      <c r="K18" s="36">
        <v>25</v>
      </c>
      <c r="L18" s="36">
        <f>J18/$C$26</f>
        <v>115.40333333333334</v>
      </c>
      <c r="M18" s="36">
        <f>'исх.данные'!I192+'исх.данные'!L193+'исх.данные'!L194+'исх.данные'!L195+'исх.данные'!L196+'исх.данные'!L197+'исх.данные'!L198+'исх.данные'!L199+'исх.данные'!L200+'исх.данные'!L201+'исх.данные'!L202+'исх.данные'!L203+'исх.данные'!L204+'исх.данные'!L208+'исх.данные'!L209+'исх.данные'!L210+'исх.данные'!L212+'исх.данные'!L213+'исх.данные'!L214+'исх.данные'!L215+'исх.данные'!L216+'исх.данные'!L225+'исх.данные'!L227+'исх.данные'!L231+'исх.данные'!L232+'исх.данные'!L233+'исх.данные'!L234+'исх.данные'!L235+'исх.данные'!L236+'исх.данные'!L237+'исх.данные'!L239+'исх.данные'!L240+'исх.данные'!I241</f>
        <v>261723</v>
      </c>
      <c r="N18" s="36">
        <v>33</v>
      </c>
      <c r="O18" s="167">
        <f>M18/C27</f>
        <v>10905.125</v>
      </c>
      <c r="P18" s="152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</row>
    <row r="19" spans="1:27" ht="49.5" customHeight="1">
      <c r="A19" s="166">
        <v>16</v>
      </c>
      <c r="B19" s="36" t="str">
        <f>'загальн.витрати'!B22</f>
        <v>м. Новодонецьке </v>
      </c>
      <c r="C19" s="36">
        <f>'исх.данные'!C182</f>
        <v>3</v>
      </c>
      <c r="D19" s="36">
        <v>0</v>
      </c>
      <c r="E19" s="36">
        <f>'загальн.витрати'!E22</f>
        <v>118044.6</v>
      </c>
      <c r="F19" s="36"/>
      <c r="G19" s="36"/>
      <c r="H19" s="36">
        <f>'исх.данные'!I168</f>
        <v>26016.6</v>
      </c>
      <c r="I19" s="36">
        <v>1</v>
      </c>
      <c r="J19" s="36">
        <f>'исх.данные'!L169+'исх.данные'!L170+'исх.данные'!L171+'исх.данные'!L172+'исх.данные'!L173+'исх.данные'!L176+'исх.данные'!I177+'исх.данные'!L178+'исх.данные'!L179+'исх.данные'!L180+'исх.данные'!I181</f>
        <v>91501</v>
      </c>
      <c r="K19" s="36">
        <v>11</v>
      </c>
      <c r="L19" s="36">
        <f>J19/$C$26</f>
        <v>30.500333333333334</v>
      </c>
      <c r="M19" s="36">
        <f>'исх.данные'!L174+'исх.данные'!L175</f>
        <v>527</v>
      </c>
      <c r="N19" s="36">
        <v>2</v>
      </c>
      <c r="O19" s="167">
        <f>M19/$C$27</f>
        <v>21.958333333333332</v>
      </c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</row>
    <row r="20" spans="1:27" s="158" customFormat="1" ht="89.25" customHeight="1">
      <c r="A20" s="166">
        <v>17</v>
      </c>
      <c r="B20" s="36" t="str">
        <f>'загальн.витрати'!B23</f>
        <v>м. Білозерське </v>
      </c>
      <c r="C20" s="36">
        <f>'исх.данные'!C254</f>
        <v>7</v>
      </c>
      <c r="D20" s="36">
        <v>0</v>
      </c>
      <c r="E20" s="36">
        <f>'загальн.витрати'!E23</f>
        <v>279704</v>
      </c>
      <c r="F20" s="36"/>
      <c r="G20" s="36"/>
      <c r="H20" s="36"/>
      <c r="I20" s="36"/>
      <c r="J20" s="36">
        <f>E20-M20</f>
        <v>271338</v>
      </c>
      <c r="K20" s="36">
        <v>9</v>
      </c>
      <c r="L20" s="36">
        <f>J20/$C$26</f>
        <v>90.446</v>
      </c>
      <c r="M20" s="36">
        <f>'исх.данные'!I250</f>
        <v>8366</v>
      </c>
      <c r="N20" s="36">
        <v>1</v>
      </c>
      <c r="O20" s="167">
        <f>M20/$C$27</f>
        <v>348.5833333333333</v>
      </c>
      <c r="P20" s="152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</row>
    <row r="21" spans="1:27" s="158" customFormat="1" ht="108" customHeight="1">
      <c r="A21" s="166">
        <v>18</v>
      </c>
      <c r="B21" s="36" t="str">
        <f>'загальн.витрати'!B24</f>
        <v>м. Білицьке </v>
      </c>
      <c r="C21" s="36">
        <f>'исх.данные'!C273</f>
        <v>5</v>
      </c>
      <c r="D21" s="36">
        <v>0</v>
      </c>
      <c r="E21" s="36">
        <f>'загальн.витрати'!E24</f>
        <v>258130</v>
      </c>
      <c r="F21" s="36"/>
      <c r="G21" s="36"/>
      <c r="H21" s="36">
        <f>'исх.данные'!I262+'исх.данные'!I265</f>
        <v>72959</v>
      </c>
      <c r="I21" s="36">
        <v>2</v>
      </c>
      <c r="J21" s="36">
        <f>'исх.данные'!I256+'исх.данные'!L263+'исх.данные'!L264+'исх.данные'!L266+'исх.данные'!L267+'исх.данные'!L270</f>
        <v>44683</v>
      </c>
      <c r="K21" s="36">
        <v>7</v>
      </c>
      <c r="L21" s="36">
        <f>J21/$C$26</f>
        <v>14.894333333333334</v>
      </c>
      <c r="M21" s="36">
        <f>'исх.данные'!L257+'исх.данные'!L258+'исх.данные'!L259+'исх.данные'!L260+'исх.данные'!I261+'исх.данные'!L268+'исх.данные'!L271+'исх.данные'!L271+'исх.данные'!I272</f>
        <v>139947</v>
      </c>
      <c r="N21" s="36">
        <v>7</v>
      </c>
      <c r="O21" s="167">
        <f>M21/$C$27</f>
        <v>5831.125</v>
      </c>
      <c r="P21" s="152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</row>
    <row r="22" spans="1:27" s="158" customFormat="1" ht="49.5" customHeight="1">
      <c r="A22" s="166">
        <v>19</v>
      </c>
      <c r="B22" s="36" t="str">
        <f>'загальн.витрати'!B25</f>
        <v>с. Водянське </v>
      </c>
      <c r="C22" s="36">
        <v>1</v>
      </c>
      <c r="D22" s="36">
        <v>0</v>
      </c>
      <c r="E22" s="36">
        <f>'загальн.витрати'!E25</f>
        <v>24699</v>
      </c>
      <c r="F22" s="36"/>
      <c r="G22" s="36"/>
      <c r="H22" s="36"/>
      <c r="I22" s="36"/>
      <c r="J22" s="36">
        <f>E22-M22</f>
        <v>3025</v>
      </c>
      <c r="K22" s="36">
        <v>5</v>
      </c>
      <c r="L22" s="36">
        <v>5</v>
      </c>
      <c r="M22" s="36">
        <f>'исх.данные'!I275+'исх.данные'!L276</f>
        <v>21674</v>
      </c>
      <c r="N22" s="36">
        <v>2</v>
      </c>
      <c r="O22" s="167">
        <f>M22/$C$27</f>
        <v>903.0833333333334</v>
      </c>
      <c r="P22" s="152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</row>
    <row r="23" spans="1:27" s="153" customFormat="1" ht="94.5" customHeight="1" thickBot="1">
      <c r="A23" s="168"/>
      <c r="B23" s="62" t="str">
        <f>'загальн.витрати'!B26</f>
        <v>Разом</v>
      </c>
      <c r="C23" s="62">
        <f aca="true" t="shared" si="0" ref="C23:J23">SUM(C4:C22)</f>
        <v>109</v>
      </c>
      <c r="D23" s="62">
        <f t="shared" si="0"/>
        <v>14</v>
      </c>
      <c r="E23" s="62">
        <f t="shared" si="0"/>
        <v>2556201.9000000004</v>
      </c>
      <c r="F23" s="62">
        <f>F4+F5+F6+F7+F11</f>
        <v>206125</v>
      </c>
      <c r="G23" s="62">
        <f t="shared" si="0"/>
        <v>93</v>
      </c>
      <c r="H23" s="62">
        <f>SUM(H4:H22)</f>
        <v>389840.6</v>
      </c>
      <c r="I23" s="62">
        <f>SUM(I4:I22)</f>
        <v>10</v>
      </c>
      <c r="J23" s="62">
        <f t="shared" si="0"/>
        <v>1468839</v>
      </c>
      <c r="K23" s="62">
        <f>SUM(K4:K22)</f>
        <v>121</v>
      </c>
      <c r="L23" s="62">
        <f>SUM(L4:L22)</f>
        <v>508.267</v>
      </c>
      <c r="M23" s="62">
        <f>SUM(M4:M22)</f>
        <v>490237.3</v>
      </c>
      <c r="N23" s="62">
        <f>SUM(N4:N22)</f>
        <v>63</v>
      </c>
      <c r="O23" s="150">
        <f>SUM(O4:O22)</f>
        <v>20426.554166666665</v>
      </c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</row>
    <row r="24" spans="1:28" s="515" customFormat="1" ht="94.5" customHeight="1">
      <c r="A24" s="514"/>
      <c r="B24" s="514"/>
      <c r="C24" s="514"/>
      <c r="D24" s="514"/>
      <c r="F24" s="184">
        <f>'сравнение затрат до и после Зах'!K8+'сравнение затрат до и после Зах'!K18+'сравнение затрат до и после Зах'!K27+'сравнение затрат до и после Зах'!K38+'сравнение затрат до и после Зах'!K107</f>
        <v>41960</v>
      </c>
      <c r="G24" s="516">
        <f>F24/G23</f>
        <v>451.18279569892474</v>
      </c>
      <c r="I24" s="514"/>
      <c r="J24" s="514"/>
      <c r="K24" s="514"/>
      <c r="L24" s="514"/>
      <c r="M24" s="514"/>
      <c r="N24" s="514"/>
      <c r="P24" s="514"/>
      <c r="Q24" s="514"/>
      <c r="R24" s="514"/>
      <c r="S24" s="514"/>
      <c r="T24" s="514"/>
      <c r="U24" s="514"/>
      <c r="V24" s="514"/>
      <c r="W24" s="514"/>
      <c r="X24" s="514"/>
      <c r="Y24" s="514"/>
      <c r="Z24" s="514"/>
      <c r="AA24" s="514"/>
      <c r="AB24" s="514"/>
    </row>
    <row r="25" spans="2:28" ht="67.5" customHeight="1">
      <c r="B25" s="152" t="s">
        <v>525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O25" s="152"/>
      <c r="P25" s="152"/>
      <c r="Q25" s="152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</row>
    <row r="26" spans="2:28" ht="75.75" customHeight="1">
      <c r="B26" s="164" t="s">
        <v>526</v>
      </c>
      <c r="C26" s="165">
        <v>3000</v>
      </c>
      <c r="D26" s="163"/>
      <c r="F26" s="152"/>
      <c r="G26" s="152"/>
      <c r="H26" s="152"/>
      <c r="I26" s="152"/>
      <c r="J26" s="152"/>
      <c r="K26" s="152"/>
      <c r="L26" s="152"/>
      <c r="M26" s="152"/>
      <c r="N26" s="152">
        <f>G23+L23+N23</f>
        <v>664.267</v>
      </c>
      <c r="O26" s="152"/>
      <c r="P26" s="152"/>
      <c r="Q26" s="152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</row>
    <row r="27" spans="2:28" ht="83.25" customHeight="1">
      <c r="B27" s="164" t="s">
        <v>527</v>
      </c>
      <c r="C27" s="165">
        <v>24</v>
      </c>
      <c r="D27" s="163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</row>
    <row r="28" spans="3:18" ht="27.75">
      <c r="C28" s="758" t="s">
        <v>528</v>
      </c>
      <c r="D28" s="759"/>
      <c r="E28" s="759"/>
      <c r="F28" s="759"/>
      <c r="G28" s="759"/>
      <c r="H28" s="759"/>
      <c r="I28" s="759"/>
      <c r="J28" s="759"/>
      <c r="K28" s="759"/>
      <c r="L28" s="759"/>
      <c r="M28" s="759"/>
      <c r="N28" s="759"/>
      <c r="O28" s="759"/>
      <c r="P28" s="759"/>
      <c r="Q28" s="155"/>
      <c r="R28" s="155"/>
    </row>
    <row r="29" spans="2:18" ht="27.75"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</row>
    <row r="30" spans="2:18" ht="27.75"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</row>
    <row r="31" spans="2:18" ht="27.75"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</row>
    <row r="32" spans="2:18" ht="27.75"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</row>
    <row r="33" spans="2:18" ht="27.75"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</row>
    <row r="34" spans="2:18" ht="27.75"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</row>
    <row r="35" spans="2:18" ht="27.75"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</row>
    <row r="36" spans="2:18" ht="27.75"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</row>
    <row r="37" spans="2:18" ht="27.75"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</row>
    <row r="38" spans="2:18" ht="27.75"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</row>
    <row r="39" spans="2:18" ht="27.75"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</row>
    <row r="40" spans="2:18" ht="27.75"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</row>
    <row r="41" spans="2:18" ht="27.75"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</row>
    <row r="42" spans="2:18" ht="27.75"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</row>
    <row r="43" spans="2:18" ht="27.75"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</row>
    <row r="44" spans="2:18" ht="27.75"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</row>
    <row r="45" spans="2:18" ht="27.75"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</row>
    <row r="46" spans="2:18" ht="27.75"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</row>
    <row r="47" spans="2:18" ht="27.75"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</row>
    <row r="48" spans="2:18" ht="27.75"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</row>
    <row r="49" spans="2:18" ht="27.75"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</row>
    <row r="50" spans="2:18" ht="27.75"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</row>
    <row r="51" spans="2:18" ht="27.75"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</row>
    <row r="52" spans="2:18" ht="27.75"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</row>
    <row r="53" spans="2:18" ht="27.75"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</row>
    <row r="54" spans="2:18" ht="27.75"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</row>
    <row r="55" spans="2:18" ht="27.75"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</row>
    <row r="56" spans="2:18" ht="27.75"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</row>
    <row r="57" spans="2:18" ht="27.75"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</row>
    <row r="58" spans="2:18" ht="27.75"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</row>
    <row r="59" spans="2:18" ht="27.75"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</row>
    <row r="60" spans="2:18" ht="27.75"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</row>
    <row r="61" spans="2:18" ht="27.75"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</row>
  </sheetData>
  <mergeCells count="10">
    <mergeCell ref="C28:P28"/>
    <mergeCell ref="B2:B3"/>
    <mergeCell ref="A1:P1"/>
    <mergeCell ref="A2:A3"/>
    <mergeCell ref="C2:D2"/>
    <mergeCell ref="E2:E3"/>
    <mergeCell ref="F2:G2"/>
    <mergeCell ref="H2:I2"/>
    <mergeCell ref="J2:L2"/>
    <mergeCell ref="M2:O2"/>
  </mergeCells>
  <printOptions horizontalCentered="1"/>
  <pageMargins left="0" right="0" top="0" bottom="0" header="0.5118110236220472" footer="0.5118110236220472"/>
  <pageSetup horizontalDpi="300" verticalDpi="300" orientation="landscape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view="pageBreakPreview" zoomScale="60" zoomScaleNormal="50" workbookViewId="0" topLeftCell="A1">
      <selection activeCell="B5" sqref="B5"/>
    </sheetView>
  </sheetViews>
  <sheetFormatPr defaultColWidth="9.00390625" defaultRowHeight="12.75"/>
  <cols>
    <col min="1" max="1" width="9.125" style="71" customWidth="1"/>
    <col min="2" max="2" width="48.875" style="66" customWidth="1"/>
    <col min="3" max="3" width="41.875" style="66" customWidth="1"/>
    <col min="4" max="4" width="41.375" style="66" customWidth="1"/>
    <col min="5" max="5" width="42.625" style="66" customWidth="1"/>
    <col min="6" max="6" width="46.875" style="66" customWidth="1"/>
    <col min="7" max="16384" width="9.125" style="66" customWidth="1"/>
  </cols>
  <sheetData>
    <row r="1" spans="1:6" ht="100.5" customHeight="1" thickBot="1">
      <c r="A1" s="723" t="s">
        <v>465</v>
      </c>
      <c r="B1" s="724"/>
      <c r="C1" s="724"/>
      <c r="D1" s="724"/>
      <c r="E1" s="724"/>
      <c r="F1" s="724"/>
    </row>
    <row r="2" spans="1:6" s="68" customFormat="1" ht="156" customHeight="1">
      <c r="A2" s="721" t="s">
        <v>143</v>
      </c>
      <c r="B2" s="719" t="s">
        <v>320</v>
      </c>
      <c r="C2" s="78" t="s">
        <v>529</v>
      </c>
      <c r="D2" s="78" t="s">
        <v>531</v>
      </c>
      <c r="E2" s="78" t="s">
        <v>532</v>
      </c>
      <c r="F2" s="479" t="s">
        <v>533</v>
      </c>
    </row>
    <row r="3" spans="1:6" s="68" customFormat="1" ht="48" customHeight="1" thickBot="1">
      <c r="A3" s="722"/>
      <c r="B3" s="720"/>
      <c r="C3" s="79" t="s">
        <v>530</v>
      </c>
      <c r="D3" s="79" t="s">
        <v>530</v>
      </c>
      <c r="E3" s="79" t="s">
        <v>530</v>
      </c>
      <c r="F3" s="80" t="s">
        <v>530</v>
      </c>
    </row>
    <row r="4" spans="1:6" ht="52.5" customHeight="1">
      <c r="A4" s="72">
        <v>1</v>
      </c>
      <c r="B4" s="73" t="s">
        <v>363</v>
      </c>
      <c r="C4" s="74">
        <v>161333</v>
      </c>
      <c r="D4" s="74">
        <f>C4-E4</f>
        <v>99346</v>
      </c>
      <c r="E4" s="74">
        <v>61987</v>
      </c>
      <c r="F4" s="75">
        <v>33597</v>
      </c>
    </row>
    <row r="5" spans="1:6" ht="52.5" customHeight="1">
      <c r="A5" s="77">
        <v>2</v>
      </c>
      <c r="B5" s="69" t="s">
        <v>359</v>
      </c>
      <c r="C5" s="35">
        <f>60123430/1000</f>
        <v>60123.43</v>
      </c>
      <c r="D5" s="35">
        <f>39846676/1000</f>
        <v>39846.676</v>
      </c>
      <c r="E5" s="35">
        <f>20276754/1000</f>
        <v>20276.754</v>
      </c>
      <c r="F5" s="70">
        <f>10122408/1000</f>
        <v>10122.408</v>
      </c>
    </row>
    <row r="6" spans="1:6" ht="52.5" customHeight="1">
      <c r="A6" s="77">
        <v>3</v>
      </c>
      <c r="B6" s="69" t="s">
        <v>362</v>
      </c>
      <c r="C6" s="35">
        <v>123672</v>
      </c>
      <c r="D6" s="35">
        <f>C6-E6</f>
        <v>68425</v>
      </c>
      <c r="E6" s="35">
        <v>55247</v>
      </c>
      <c r="F6" s="70">
        <v>33451</v>
      </c>
    </row>
    <row r="7" spans="1:6" ht="52.5" customHeight="1">
      <c r="A7" s="77">
        <v>4</v>
      </c>
      <c r="B7" s="69" t="s">
        <v>364</v>
      </c>
      <c r="C7" s="35">
        <v>112317</v>
      </c>
      <c r="D7" s="35">
        <f>C7-E7</f>
        <v>64659</v>
      </c>
      <c r="E7" s="35">
        <v>47658</v>
      </c>
      <c r="F7" s="70">
        <v>26152</v>
      </c>
    </row>
    <row r="8" spans="1:6" ht="52.5" customHeight="1">
      <c r="A8" s="77">
        <v>5</v>
      </c>
      <c r="B8" s="69" t="s">
        <v>358</v>
      </c>
      <c r="C8" s="35">
        <v>61380</v>
      </c>
      <c r="D8" s="35">
        <v>39858</v>
      </c>
      <c r="E8" s="35">
        <v>21522</v>
      </c>
      <c r="F8" s="70">
        <v>10231</v>
      </c>
    </row>
    <row r="9" spans="1:6" ht="52.5" customHeight="1">
      <c r="A9" s="77">
        <v>6</v>
      </c>
      <c r="B9" s="69" t="s">
        <v>357</v>
      </c>
      <c r="C9" s="35">
        <f>50216548/1000</f>
        <v>50216.548</v>
      </c>
      <c r="D9" s="35">
        <f>35614678/1000</f>
        <v>35614.678</v>
      </c>
      <c r="E9" s="35">
        <f>14601870/1000</f>
        <v>14601.87</v>
      </c>
      <c r="F9" s="70">
        <f>7069388/1000</f>
        <v>7069.388</v>
      </c>
    </row>
    <row r="10" spans="1:6" ht="52.5" customHeight="1">
      <c r="A10" s="77">
        <v>7</v>
      </c>
      <c r="B10" s="69" t="s">
        <v>365</v>
      </c>
      <c r="C10" s="35">
        <f>65081402/1000</f>
        <v>65081.402</v>
      </c>
      <c r="D10" s="35">
        <f>29002599/1000</f>
        <v>29002.599</v>
      </c>
      <c r="E10" s="35">
        <f>36078803/1000</f>
        <v>36078.803</v>
      </c>
      <c r="F10" s="70">
        <f>24858148/1000</f>
        <v>24858.148</v>
      </c>
    </row>
    <row r="11" spans="1:6" ht="52.5" customHeight="1">
      <c r="A11" s="77">
        <v>8</v>
      </c>
      <c r="B11" s="69" t="s">
        <v>360</v>
      </c>
      <c r="C11" s="35">
        <v>18275.7</v>
      </c>
      <c r="D11" s="35">
        <v>11606</v>
      </c>
      <c r="E11" s="35">
        <v>6670</v>
      </c>
      <c r="F11" s="70">
        <v>3367.4</v>
      </c>
    </row>
    <row r="12" spans="1:6" s="89" customFormat="1" ht="52.5" customHeight="1">
      <c r="A12" s="85">
        <v>9</v>
      </c>
      <c r="B12" s="86" t="s">
        <v>354</v>
      </c>
      <c r="C12" s="87"/>
      <c r="D12" s="87"/>
      <c r="E12" s="87"/>
      <c r="F12" s="88"/>
    </row>
    <row r="13" spans="1:6" ht="53.25" customHeight="1">
      <c r="A13" s="77">
        <v>10</v>
      </c>
      <c r="B13" s="69" t="s">
        <v>356</v>
      </c>
      <c r="C13" s="35">
        <v>47961</v>
      </c>
      <c r="D13" s="35">
        <f>C13-E13</f>
        <v>28263</v>
      </c>
      <c r="E13" s="35">
        <v>19698</v>
      </c>
      <c r="F13" s="70">
        <v>10810</v>
      </c>
    </row>
    <row r="14" spans="1:6" ht="53.25" customHeight="1">
      <c r="A14" s="77">
        <v>11</v>
      </c>
      <c r="B14" s="69" t="s">
        <v>759</v>
      </c>
      <c r="C14" s="35">
        <v>12648</v>
      </c>
      <c r="D14" s="35">
        <v>8333</v>
      </c>
      <c r="E14" s="35">
        <v>4315</v>
      </c>
      <c r="F14" s="70">
        <v>1979</v>
      </c>
    </row>
    <row r="15" spans="1:6" ht="53.25" customHeight="1">
      <c r="A15" s="77">
        <v>12</v>
      </c>
      <c r="B15" s="69" t="s">
        <v>761</v>
      </c>
      <c r="C15" s="35">
        <v>2748</v>
      </c>
      <c r="D15" s="35">
        <v>1903</v>
      </c>
      <c r="E15" s="35">
        <v>845</v>
      </c>
      <c r="F15" s="70">
        <v>376</v>
      </c>
    </row>
    <row r="16" spans="1:6" ht="53.25" customHeight="1">
      <c r="A16" s="77">
        <v>13</v>
      </c>
      <c r="B16" s="69" t="s">
        <v>768</v>
      </c>
      <c r="C16" s="35">
        <v>4626</v>
      </c>
      <c r="D16" s="35">
        <v>3156</v>
      </c>
      <c r="E16" s="35">
        <v>1470</v>
      </c>
      <c r="F16" s="70">
        <v>620</v>
      </c>
    </row>
    <row r="17" spans="1:6" ht="53.25" customHeight="1">
      <c r="A17" s="77">
        <v>14</v>
      </c>
      <c r="B17" s="69" t="s">
        <v>355</v>
      </c>
      <c r="C17" s="35">
        <v>54263</v>
      </c>
      <c r="D17" s="35">
        <f>C17-E17</f>
        <v>33371</v>
      </c>
      <c r="E17" s="35">
        <v>20892</v>
      </c>
      <c r="F17" s="70">
        <v>10815</v>
      </c>
    </row>
    <row r="18" spans="1:6" s="84" customFormat="1" ht="52.5" customHeight="1">
      <c r="A18" s="81">
        <v>15</v>
      </c>
      <c r="B18" s="82" t="s">
        <v>361</v>
      </c>
      <c r="C18" s="67">
        <v>16322</v>
      </c>
      <c r="D18" s="67">
        <v>12127</v>
      </c>
      <c r="E18" s="67">
        <v>4195</v>
      </c>
      <c r="F18" s="83">
        <v>952</v>
      </c>
    </row>
    <row r="19" spans="1:6" s="90" customFormat="1" ht="52.5" customHeight="1">
      <c r="A19" s="85">
        <v>16</v>
      </c>
      <c r="B19" s="86" t="s">
        <v>350</v>
      </c>
      <c r="C19" s="87">
        <v>78054</v>
      </c>
      <c r="D19" s="87">
        <v>54638</v>
      </c>
      <c r="E19" s="87">
        <v>23416</v>
      </c>
      <c r="F19" s="88">
        <v>8586</v>
      </c>
    </row>
    <row r="20" spans="1:6" ht="53.25" customHeight="1">
      <c r="A20" s="77">
        <v>17</v>
      </c>
      <c r="B20" s="69" t="s">
        <v>353</v>
      </c>
      <c r="C20" s="35">
        <v>16793</v>
      </c>
      <c r="D20" s="35">
        <v>10073</v>
      </c>
      <c r="E20" s="35">
        <v>6720</v>
      </c>
      <c r="F20" s="70">
        <v>3530</v>
      </c>
    </row>
    <row r="21" spans="1:6" ht="53.25" customHeight="1">
      <c r="A21" s="77">
        <v>18</v>
      </c>
      <c r="B21" s="69" t="s">
        <v>351</v>
      </c>
      <c r="C21" s="35">
        <v>28315</v>
      </c>
      <c r="D21" s="35">
        <v>16989</v>
      </c>
      <c r="E21" s="35">
        <v>11326</v>
      </c>
      <c r="F21" s="70">
        <v>5946</v>
      </c>
    </row>
    <row r="22" spans="1:6" ht="53.25" customHeight="1">
      <c r="A22" s="77">
        <v>19</v>
      </c>
      <c r="B22" s="69" t="s">
        <v>352</v>
      </c>
      <c r="C22" s="35">
        <v>22263</v>
      </c>
      <c r="D22" s="35">
        <v>15139</v>
      </c>
      <c r="E22" s="35">
        <v>7124</v>
      </c>
      <c r="F22" s="70">
        <v>2894</v>
      </c>
    </row>
    <row r="23" spans="1:6" ht="53.25" customHeight="1">
      <c r="A23" s="77">
        <v>20</v>
      </c>
      <c r="B23" s="69" t="s">
        <v>453</v>
      </c>
      <c r="C23" s="35">
        <v>15314</v>
      </c>
      <c r="D23" s="35">
        <v>9286</v>
      </c>
      <c r="E23" s="35">
        <v>6028</v>
      </c>
      <c r="F23" s="70">
        <v>3118</v>
      </c>
    </row>
    <row r="24" spans="1:6" s="84" customFormat="1" ht="31.5" thickBot="1">
      <c r="A24" s="91">
        <v>21</v>
      </c>
      <c r="B24" s="79" t="s">
        <v>534</v>
      </c>
      <c r="C24" s="79">
        <f>SUM(C4:C23)</f>
        <v>951706.08</v>
      </c>
      <c r="D24" s="79">
        <f>SUM(D4:D23)</f>
        <v>581635.953</v>
      </c>
      <c r="E24" s="79">
        <f>SUM(E4:E23)</f>
        <v>370070.427</v>
      </c>
      <c r="F24" s="80">
        <f>SUM(F4:F23)</f>
        <v>198474.344</v>
      </c>
    </row>
  </sheetData>
  <mergeCells count="3">
    <mergeCell ref="B2:B3"/>
    <mergeCell ref="A2:A3"/>
    <mergeCell ref="A1:F1"/>
  </mergeCells>
  <printOptions/>
  <pageMargins left="0" right="0" top="0" bottom="0" header="0.5118110236220472" footer="0.5118110236220472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6"/>
  <sheetViews>
    <sheetView zoomScale="50" zoomScaleNormal="50" workbookViewId="0" topLeftCell="A1">
      <selection activeCell="C281" sqref="C281"/>
    </sheetView>
  </sheetViews>
  <sheetFormatPr defaultColWidth="9.00390625" defaultRowHeight="12.75"/>
  <cols>
    <col min="1" max="1" width="9.375" style="113" customWidth="1"/>
    <col min="2" max="2" width="42.875" style="23" customWidth="1"/>
    <col min="3" max="3" width="37.625" style="23" customWidth="1"/>
    <col min="4" max="4" width="19.25390625" style="113" bestFit="1" customWidth="1"/>
    <col min="5" max="5" width="100.125" style="113" customWidth="1"/>
    <col min="6" max="6" width="16.125" style="113" bestFit="1" customWidth="1"/>
    <col min="7" max="16384" width="9.125" style="118" customWidth="1"/>
  </cols>
  <sheetData>
    <row r="1" spans="1:6" ht="68.25" customHeight="1" thickBot="1">
      <c r="A1" s="725" t="s">
        <v>466</v>
      </c>
      <c r="B1" s="725"/>
      <c r="C1" s="725"/>
      <c r="D1" s="725"/>
      <c r="E1" s="725"/>
      <c r="F1" s="726"/>
    </row>
    <row r="2" spans="1:6" s="23" customFormat="1" ht="76.5" customHeight="1">
      <c r="A2" s="708" t="s">
        <v>316</v>
      </c>
      <c r="B2" s="710" t="s">
        <v>130</v>
      </c>
      <c r="C2" s="710" t="s">
        <v>510</v>
      </c>
      <c r="D2" s="705" t="s">
        <v>514</v>
      </c>
      <c r="E2" s="705" t="s">
        <v>535</v>
      </c>
      <c r="F2" s="706"/>
    </row>
    <row r="3" spans="1:6" s="23" customFormat="1" ht="76.5" customHeight="1">
      <c r="A3" s="709"/>
      <c r="B3" s="707"/>
      <c r="C3" s="707"/>
      <c r="D3" s="707"/>
      <c r="E3" s="6" t="s">
        <v>530</v>
      </c>
      <c r="F3" s="109" t="s">
        <v>144</v>
      </c>
    </row>
    <row r="4" spans="1:6" s="112" customFormat="1" ht="27" customHeight="1">
      <c r="A4" s="110">
        <v>1</v>
      </c>
      <c r="B4" s="111">
        <v>2</v>
      </c>
      <c r="C4" s="111">
        <v>3</v>
      </c>
      <c r="D4" s="111">
        <v>4</v>
      </c>
      <c r="E4" s="111">
        <v>5</v>
      </c>
      <c r="F4" s="117">
        <v>6</v>
      </c>
    </row>
    <row r="5" spans="1:6" ht="42.75" customHeight="1">
      <c r="A5" s="1"/>
      <c r="B5" s="5" t="s">
        <v>518</v>
      </c>
      <c r="C5" s="8"/>
      <c r="D5" s="4"/>
      <c r="E5" s="4"/>
      <c r="F5" s="119"/>
    </row>
    <row r="6" spans="1:6" ht="26.25">
      <c r="A6" s="1">
        <v>1</v>
      </c>
      <c r="B6" s="8" t="s">
        <v>519</v>
      </c>
      <c r="C6" s="21" t="s">
        <v>103</v>
      </c>
      <c r="D6" s="4">
        <v>296</v>
      </c>
      <c r="E6" s="4">
        <v>307</v>
      </c>
      <c r="F6" s="119">
        <f>E6*$C$278/1000</f>
        <v>63.54593</v>
      </c>
    </row>
    <row r="7" spans="1:6" ht="26.25">
      <c r="A7" s="1">
        <v>2</v>
      </c>
      <c r="B7" s="8" t="s">
        <v>519</v>
      </c>
      <c r="C7" s="8" t="s">
        <v>104</v>
      </c>
      <c r="D7" s="9">
        <v>226</v>
      </c>
      <c r="E7" s="9">
        <v>212</v>
      </c>
      <c r="F7" s="119">
        <f aca="true" t="shared" si="0" ref="F7:F70">E7*$C$278/1000</f>
        <v>43.88188</v>
      </c>
    </row>
    <row r="8" spans="1:6" ht="26.25">
      <c r="A8" s="1">
        <v>3</v>
      </c>
      <c r="B8" s="8" t="s">
        <v>612</v>
      </c>
      <c r="C8" s="8" t="s">
        <v>767</v>
      </c>
      <c r="D8" s="4">
        <v>48</v>
      </c>
      <c r="E8" s="4">
        <v>39</v>
      </c>
      <c r="F8" s="119">
        <f t="shared" si="0"/>
        <v>8.072610000000001</v>
      </c>
    </row>
    <row r="9" spans="1:6" ht="26.25">
      <c r="A9" s="1">
        <v>4</v>
      </c>
      <c r="B9" s="8" t="s">
        <v>613</v>
      </c>
      <c r="C9" s="8" t="s">
        <v>105</v>
      </c>
      <c r="D9" s="9">
        <v>99</v>
      </c>
      <c r="E9" s="4">
        <v>72</v>
      </c>
      <c r="F9" s="119">
        <f t="shared" si="0"/>
        <v>14.90328</v>
      </c>
    </row>
    <row r="10" spans="1:6" ht="26.25">
      <c r="A10" s="1">
        <v>5</v>
      </c>
      <c r="B10" s="8" t="s">
        <v>614</v>
      </c>
      <c r="C10" s="8" t="s">
        <v>688</v>
      </c>
      <c r="D10" s="4">
        <v>120</v>
      </c>
      <c r="E10" s="4">
        <v>93</v>
      </c>
      <c r="F10" s="119">
        <f t="shared" si="0"/>
        <v>19.25007</v>
      </c>
    </row>
    <row r="11" spans="1:6" ht="77.25" customHeight="1" hidden="1">
      <c r="A11" s="1">
        <v>7</v>
      </c>
      <c r="B11" s="8" t="s">
        <v>616</v>
      </c>
      <c r="C11" s="8" t="s">
        <v>689</v>
      </c>
      <c r="D11" s="4"/>
      <c r="E11" s="4"/>
      <c r="F11" s="119">
        <f t="shared" si="0"/>
        <v>0</v>
      </c>
    </row>
    <row r="12" spans="1:6" ht="61.5" customHeight="1" hidden="1">
      <c r="A12" s="1">
        <v>8</v>
      </c>
      <c r="B12" s="8" t="s">
        <v>621</v>
      </c>
      <c r="C12" s="8" t="s">
        <v>688</v>
      </c>
      <c r="D12" s="4"/>
      <c r="E12" s="4"/>
      <c r="F12" s="119">
        <f t="shared" si="0"/>
        <v>0</v>
      </c>
    </row>
    <row r="13" spans="1:6" ht="60.75" customHeight="1" hidden="1">
      <c r="A13" s="1">
        <v>9</v>
      </c>
      <c r="B13" s="8" t="s">
        <v>618</v>
      </c>
      <c r="C13" s="8" t="s">
        <v>689</v>
      </c>
      <c r="D13" s="9"/>
      <c r="E13" s="9"/>
      <c r="F13" s="119">
        <f t="shared" si="0"/>
        <v>0</v>
      </c>
    </row>
    <row r="14" spans="1:6" s="132" customFormat="1" ht="51" customHeight="1">
      <c r="A14" s="127"/>
      <c r="B14" s="128" t="s">
        <v>619</v>
      </c>
      <c r="C14" s="129"/>
      <c r="D14" s="130">
        <f>SUM(D6:D13)</f>
        <v>789</v>
      </c>
      <c r="E14" s="130">
        <f>SUM(E6:E13)</f>
        <v>723</v>
      </c>
      <c r="F14" s="131">
        <f t="shared" si="0"/>
        <v>149.65377</v>
      </c>
    </row>
    <row r="15" spans="1:6" ht="26.25">
      <c r="A15" s="1"/>
      <c r="B15" s="121" t="s">
        <v>622</v>
      </c>
      <c r="C15" s="8"/>
      <c r="D15" s="9"/>
      <c r="E15" s="9"/>
      <c r="F15" s="119"/>
    </row>
    <row r="16" spans="1:6" ht="52.5">
      <c r="A16" s="1">
        <v>1</v>
      </c>
      <c r="B16" s="8" t="s">
        <v>317</v>
      </c>
      <c r="C16" s="8" t="s">
        <v>449</v>
      </c>
      <c r="D16" s="9">
        <v>719</v>
      </c>
      <c r="E16" s="9">
        <f>D16*1.15</f>
        <v>826.8499999999999</v>
      </c>
      <c r="F16" s="119">
        <f t="shared" si="0"/>
        <v>171.14968149999999</v>
      </c>
    </row>
    <row r="17" spans="1:6" ht="75" customHeight="1" hidden="1">
      <c r="A17" s="1">
        <v>13</v>
      </c>
      <c r="B17" s="8"/>
      <c r="C17" s="8" t="s">
        <v>123</v>
      </c>
      <c r="D17" s="9"/>
      <c r="E17" s="9">
        <f aca="true" t="shared" si="1" ref="E17:E22">D17*1.15</f>
        <v>0</v>
      </c>
      <c r="F17" s="119">
        <f t="shared" si="0"/>
        <v>0</v>
      </c>
    </row>
    <row r="18" spans="1:6" ht="52.5">
      <c r="A18" s="1">
        <v>2</v>
      </c>
      <c r="B18" s="8" t="s">
        <v>318</v>
      </c>
      <c r="C18" s="8" t="s">
        <v>869</v>
      </c>
      <c r="D18" s="4">
        <v>439</v>
      </c>
      <c r="E18" s="9">
        <f t="shared" si="1"/>
        <v>504.84999999999997</v>
      </c>
      <c r="F18" s="119">
        <f t="shared" si="0"/>
        <v>104.49890149999999</v>
      </c>
    </row>
    <row r="19" spans="1:6" ht="48" customHeight="1" hidden="1">
      <c r="A19" s="1">
        <v>15</v>
      </c>
      <c r="B19" s="8"/>
      <c r="C19" s="8" t="s">
        <v>124</v>
      </c>
      <c r="D19" s="4"/>
      <c r="E19" s="9">
        <f t="shared" si="1"/>
        <v>0</v>
      </c>
      <c r="F19" s="119">
        <f t="shared" si="0"/>
        <v>0</v>
      </c>
    </row>
    <row r="20" spans="1:6" ht="53.25" customHeight="1" hidden="1">
      <c r="A20" s="1">
        <v>16</v>
      </c>
      <c r="B20" s="8"/>
      <c r="C20" s="8" t="s">
        <v>869</v>
      </c>
      <c r="D20" s="4"/>
      <c r="E20" s="9">
        <f t="shared" si="1"/>
        <v>0</v>
      </c>
      <c r="F20" s="119">
        <f t="shared" si="0"/>
        <v>0</v>
      </c>
    </row>
    <row r="21" spans="1:6" ht="50.25" customHeight="1" hidden="1">
      <c r="A21" s="1">
        <v>17</v>
      </c>
      <c r="B21" s="8"/>
      <c r="C21" s="8" t="s">
        <v>125</v>
      </c>
      <c r="D21" s="4"/>
      <c r="E21" s="9">
        <f t="shared" si="1"/>
        <v>0</v>
      </c>
      <c r="F21" s="119">
        <f t="shared" si="0"/>
        <v>0</v>
      </c>
    </row>
    <row r="22" spans="1:6" ht="26.25">
      <c r="A22" s="1">
        <v>3</v>
      </c>
      <c r="B22" s="8" t="s">
        <v>626</v>
      </c>
      <c r="C22" s="8" t="s">
        <v>689</v>
      </c>
      <c r="D22" s="4">
        <v>30</v>
      </c>
      <c r="E22" s="9">
        <f t="shared" si="1"/>
        <v>34.5</v>
      </c>
      <c r="F22" s="119">
        <f t="shared" si="0"/>
        <v>7.141155</v>
      </c>
    </row>
    <row r="23" spans="1:6" s="132" customFormat="1" ht="50.25" customHeight="1">
      <c r="A23" s="127"/>
      <c r="B23" s="128" t="s">
        <v>629</v>
      </c>
      <c r="C23" s="129"/>
      <c r="D23" s="130">
        <f>SUM(D16:D22)</f>
        <v>1188</v>
      </c>
      <c r="E23" s="130">
        <f>SUM(E16:E22)</f>
        <v>1366.1999999999998</v>
      </c>
      <c r="F23" s="131">
        <f t="shared" si="0"/>
        <v>282.78973799999994</v>
      </c>
    </row>
    <row r="24" spans="1:6" ht="26.25">
      <c r="A24" s="1"/>
      <c r="B24" s="5" t="s">
        <v>630</v>
      </c>
      <c r="C24" s="8"/>
      <c r="D24" s="9"/>
      <c r="E24" s="9"/>
      <c r="F24" s="119"/>
    </row>
    <row r="25" spans="1:6" ht="75" customHeight="1" hidden="1">
      <c r="A25" s="1">
        <v>21</v>
      </c>
      <c r="B25" s="8" t="s">
        <v>631</v>
      </c>
      <c r="C25" s="8" t="s">
        <v>689</v>
      </c>
      <c r="D25" s="9"/>
      <c r="E25" s="9"/>
      <c r="F25" s="119">
        <f t="shared" si="0"/>
        <v>0</v>
      </c>
    </row>
    <row r="26" spans="1:6" ht="42.75" customHeight="1" hidden="1">
      <c r="A26" s="1">
        <v>22</v>
      </c>
      <c r="B26" s="8" t="s">
        <v>633</v>
      </c>
      <c r="C26" s="8" t="s">
        <v>689</v>
      </c>
      <c r="D26" s="9"/>
      <c r="E26" s="9"/>
      <c r="F26" s="119">
        <f t="shared" si="0"/>
        <v>0</v>
      </c>
    </row>
    <row r="27" spans="1:6" ht="85.5" customHeight="1" hidden="1">
      <c r="A27" s="1">
        <v>23</v>
      </c>
      <c r="B27" s="8" t="s">
        <v>634</v>
      </c>
      <c r="C27" s="8" t="s">
        <v>689</v>
      </c>
      <c r="D27" s="9"/>
      <c r="E27" s="9"/>
      <c r="F27" s="119">
        <f t="shared" si="0"/>
        <v>0</v>
      </c>
    </row>
    <row r="28" spans="1:6" ht="26.25">
      <c r="A28" s="1">
        <v>1</v>
      </c>
      <c r="B28" s="8" t="s">
        <v>635</v>
      </c>
      <c r="C28" s="8"/>
      <c r="D28" s="9">
        <v>107</v>
      </c>
      <c r="E28" s="9">
        <v>115</v>
      </c>
      <c r="F28" s="119">
        <f t="shared" si="0"/>
        <v>23.80385</v>
      </c>
    </row>
    <row r="29" spans="1:6" ht="26.25">
      <c r="A29" s="1">
        <v>2</v>
      </c>
      <c r="B29" s="8" t="s">
        <v>637</v>
      </c>
      <c r="C29" s="8"/>
      <c r="D29" s="9">
        <v>79</v>
      </c>
      <c r="E29" s="9">
        <v>63</v>
      </c>
      <c r="F29" s="119">
        <f t="shared" si="0"/>
        <v>13.040370000000001</v>
      </c>
    </row>
    <row r="30" spans="1:6" ht="50.25" customHeight="1">
      <c r="A30" s="127"/>
      <c r="B30" s="128" t="s">
        <v>639</v>
      </c>
      <c r="C30" s="129"/>
      <c r="D30" s="130">
        <f>SUM(D28:D29)</f>
        <v>186</v>
      </c>
      <c r="E30" s="130">
        <f>SUM(E28:E29)</f>
        <v>178</v>
      </c>
      <c r="F30" s="131">
        <f t="shared" si="0"/>
        <v>36.84422</v>
      </c>
    </row>
    <row r="31" spans="1:6" ht="26.25">
      <c r="A31" s="1"/>
      <c r="B31" s="5" t="s">
        <v>642</v>
      </c>
      <c r="C31" s="8"/>
      <c r="D31" s="9"/>
      <c r="E31" s="9"/>
      <c r="F31" s="119"/>
    </row>
    <row r="32" spans="1:6" ht="52.5">
      <c r="A32" s="1">
        <v>1</v>
      </c>
      <c r="B32" s="8" t="s">
        <v>875</v>
      </c>
      <c r="C32" s="8" t="s">
        <v>643</v>
      </c>
      <c r="D32" s="9">
        <v>52</v>
      </c>
      <c r="E32" s="9">
        <v>31</v>
      </c>
      <c r="F32" s="119">
        <f t="shared" si="0"/>
        <v>6.416690000000001</v>
      </c>
    </row>
    <row r="33" spans="1:6" ht="52.5">
      <c r="A33" s="1">
        <v>2</v>
      </c>
      <c r="B33" s="8" t="s">
        <v>644</v>
      </c>
      <c r="C33" s="8" t="s">
        <v>643</v>
      </c>
      <c r="D33" s="9">
        <v>12</v>
      </c>
      <c r="E33" s="9">
        <v>7</v>
      </c>
      <c r="F33" s="119">
        <f t="shared" si="0"/>
        <v>1.44893</v>
      </c>
    </row>
    <row r="34" spans="1:6" ht="52.5">
      <c r="A34" s="1">
        <v>3</v>
      </c>
      <c r="B34" s="8" t="s">
        <v>646</v>
      </c>
      <c r="C34" s="8" t="s">
        <v>643</v>
      </c>
      <c r="D34" s="9">
        <v>86</v>
      </c>
      <c r="E34" s="9">
        <v>61</v>
      </c>
      <c r="F34" s="119">
        <f t="shared" si="0"/>
        <v>12.62639</v>
      </c>
    </row>
    <row r="35" spans="1:6" ht="52.5">
      <c r="A35" s="1">
        <v>4</v>
      </c>
      <c r="B35" s="8" t="s">
        <v>647</v>
      </c>
      <c r="C35" s="8" t="s">
        <v>643</v>
      </c>
      <c r="D35" s="9">
        <v>24</v>
      </c>
      <c r="E35" s="9">
        <v>15</v>
      </c>
      <c r="F35" s="119">
        <f t="shared" si="0"/>
        <v>3.1048500000000003</v>
      </c>
    </row>
    <row r="36" spans="1:6" ht="26.25" hidden="1">
      <c r="A36" s="1">
        <v>32</v>
      </c>
      <c r="B36" s="8" t="s">
        <v>648</v>
      </c>
      <c r="C36" s="8" t="s">
        <v>689</v>
      </c>
      <c r="D36" s="9"/>
      <c r="E36" s="9"/>
      <c r="F36" s="119">
        <f t="shared" si="0"/>
        <v>0</v>
      </c>
    </row>
    <row r="37" spans="1:6" ht="26.25" hidden="1">
      <c r="A37" s="1">
        <v>33</v>
      </c>
      <c r="B37" s="8" t="s">
        <v>650</v>
      </c>
      <c r="C37" s="8" t="s">
        <v>689</v>
      </c>
      <c r="D37" s="9"/>
      <c r="E37" s="9"/>
      <c r="F37" s="119">
        <f t="shared" si="0"/>
        <v>0</v>
      </c>
    </row>
    <row r="38" spans="1:6" ht="26.25" hidden="1">
      <c r="A38" s="1">
        <v>34</v>
      </c>
      <c r="B38" s="8" t="s">
        <v>651</v>
      </c>
      <c r="C38" s="8" t="s">
        <v>689</v>
      </c>
      <c r="D38" s="9"/>
      <c r="E38" s="9"/>
      <c r="F38" s="119">
        <f t="shared" si="0"/>
        <v>0</v>
      </c>
    </row>
    <row r="39" spans="1:6" ht="26.25" hidden="1">
      <c r="A39" s="1">
        <v>35</v>
      </c>
      <c r="B39" s="8" t="s">
        <v>652</v>
      </c>
      <c r="C39" s="8" t="s">
        <v>689</v>
      </c>
      <c r="D39" s="9"/>
      <c r="E39" s="9"/>
      <c r="F39" s="119">
        <f t="shared" si="0"/>
        <v>0</v>
      </c>
    </row>
    <row r="40" spans="1:6" ht="42.75" customHeight="1" hidden="1">
      <c r="A40" s="1">
        <v>36</v>
      </c>
      <c r="B40" s="8" t="s">
        <v>653</v>
      </c>
      <c r="C40" s="8" t="s">
        <v>689</v>
      </c>
      <c r="D40" s="9"/>
      <c r="E40" s="9"/>
      <c r="F40" s="119">
        <f t="shared" si="0"/>
        <v>0</v>
      </c>
    </row>
    <row r="41" spans="1:6" ht="42.75" customHeight="1" hidden="1">
      <c r="A41" s="1">
        <v>37</v>
      </c>
      <c r="B41" s="8" t="s">
        <v>654</v>
      </c>
      <c r="C41" s="8" t="s">
        <v>689</v>
      </c>
      <c r="D41" s="9"/>
      <c r="E41" s="9"/>
      <c r="F41" s="119">
        <f t="shared" si="0"/>
        <v>0</v>
      </c>
    </row>
    <row r="42" spans="1:6" ht="42.75" customHeight="1" hidden="1">
      <c r="A42" s="1">
        <v>38</v>
      </c>
      <c r="B42" s="8" t="s">
        <v>655</v>
      </c>
      <c r="C42" s="8" t="s">
        <v>689</v>
      </c>
      <c r="D42" s="9"/>
      <c r="E42" s="9"/>
      <c r="F42" s="119">
        <f t="shared" si="0"/>
        <v>0</v>
      </c>
    </row>
    <row r="43" spans="1:6" ht="42.75" customHeight="1" hidden="1">
      <c r="A43" s="1">
        <v>39</v>
      </c>
      <c r="B43" s="8" t="s">
        <v>656</v>
      </c>
      <c r="C43" s="8" t="s">
        <v>689</v>
      </c>
      <c r="D43" s="9"/>
      <c r="E43" s="9"/>
      <c r="F43" s="119">
        <f t="shared" si="0"/>
        <v>0</v>
      </c>
    </row>
    <row r="44" spans="1:6" ht="42.75" customHeight="1" hidden="1">
      <c r="A44" s="1">
        <v>40</v>
      </c>
      <c r="B44" s="8" t="s">
        <v>657</v>
      </c>
      <c r="C44" s="8" t="s">
        <v>689</v>
      </c>
      <c r="D44" s="9"/>
      <c r="E44" s="9"/>
      <c r="F44" s="119">
        <f t="shared" si="0"/>
        <v>0</v>
      </c>
    </row>
    <row r="45" spans="1:6" ht="42.75" customHeight="1" hidden="1">
      <c r="A45" s="1">
        <v>41</v>
      </c>
      <c r="B45" s="8" t="s">
        <v>658</v>
      </c>
      <c r="C45" s="8" t="s">
        <v>689</v>
      </c>
      <c r="D45" s="9"/>
      <c r="E45" s="9"/>
      <c r="F45" s="119">
        <f t="shared" si="0"/>
        <v>0</v>
      </c>
    </row>
    <row r="46" spans="1:6" ht="42.75" customHeight="1" hidden="1">
      <c r="A46" s="1">
        <v>42</v>
      </c>
      <c r="B46" s="8" t="s">
        <v>659</v>
      </c>
      <c r="C46" s="8" t="s">
        <v>689</v>
      </c>
      <c r="D46" s="9"/>
      <c r="E46" s="9"/>
      <c r="F46" s="119">
        <f t="shared" si="0"/>
        <v>0</v>
      </c>
    </row>
    <row r="47" spans="1:6" ht="42.75" customHeight="1" hidden="1">
      <c r="A47" s="1">
        <v>43</v>
      </c>
      <c r="B47" s="8" t="s">
        <v>660</v>
      </c>
      <c r="C47" s="8" t="s">
        <v>689</v>
      </c>
      <c r="D47" s="9"/>
      <c r="E47" s="9"/>
      <c r="F47" s="119">
        <f t="shared" si="0"/>
        <v>0</v>
      </c>
    </row>
    <row r="48" spans="1:6" ht="61.5" customHeight="1" hidden="1">
      <c r="A48" s="1">
        <v>44</v>
      </c>
      <c r="B48" s="8" t="s">
        <v>661</v>
      </c>
      <c r="C48" s="8" t="s">
        <v>689</v>
      </c>
      <c r="D48" s="9"/>
      <c r="E48" s="9"/>
      <c r="F48" s="119">
        <f t="shared" si="0"/>
        <v>0</v>
      </c>
    </row>
    <row r="49" spans="1:6" ht="57.75" customHeight="1" hidden="1">
      <c r="A49" s="1">
        <v>45</v>
      </c>
      <c r="B49" s="8" t="s">
        <v>662</v>
      </c>
      <c r="C49" s="8" t="s">
        <v>689</v>
      </c>
      <c r="D49" s="9"/>
      <c r="E49" s="9"/>
      <c r="F49" s="119">
        <f t="shared" si="0"/>
        <v>0</v>
      </c>
    </row>
    <row r="50" spans="1:6" ht="42.75" customHeight="1" hidden="1">
      <c r="A50" s="1">
        <v>46</v>
      </c>
      <c r="B50" s="8" t="s">
        <v>663</v>
      </c>
      <c r="C50" s="8" t="s">
        <v>689</v>
      </c>
      <c r="D50" s="9"/>
      <c r="E50" s="9"/>
      <c r="F50" s="119">
        <f t="shared" si="0"/>
        <v>0</v>
      </c>
    </row>
    <row r="51" spans="1:6" ht="51.75" customHeight="1" hidden="1">
      <c r="A51" s="1">
        <v>47</v>
      </c>
      <c r="B51" s="8" t="s">
        <v>665</v>
      </c>
      <c r="C51" s="8" t="s">
        <v>689</v>
      </c>
      <c r="D51" s="9"/>
      <c r="E51" s="9"/>
      <c r="F51" s="119">
        <f t="shared" si="0"/>
        <v>0</v>
      </c>
    </row>
    <row r="52" spans="1:6" ht="50.25" customHeight="1">
      <c r="A52" s="127"/>
      <c r="B52" s="128" t="s">
        <v>666</v>
      </c>
      <c r="C52" s="129"/>
      <c r="D52" s="130">
        <f>SUM(D32:D51)</f>
        <v>174</v>
      </c>
      <c r="E52" s="130">
        <f>SUM(E32:E51)</f>
        <v>114</v>
      </c>
      <c r="F52" s="131">
        <f t="shared" si="0"/>
        <v>23.59686</v>
      </c>
    </row>
    <row r="53" spans="1:6" ht="30.75" customHeight="1">
      <c r="A53" s="1"/>
      <c r="B53" s="5" t="s">
        <v>667</v>
      </c>
      <c r="C53" s="8"/>
      <c r="D53" s="11"/>
      <c r="E53" s="11"/>
      <c r="F53" s="119"/>
    </row>
    <row r="54" spans="1:6" ht="52.5">
      <c r="A54" s="1">
        <v>1</v>
      </c>
      <c r="B54" s="8" t="s">
        <v>694</v>
      </c>
      <c r="C54" s="8" t="s">
        <v>121</v>
      </c>
      <c r="D54" s="9">
        <v>1892</v>
      </c>
      <c r="E54" s="9">
        <f>D54*1.15</f>
        <v>2175.7999999999997</v>
      </c>
      <c r="F54" s="119">
        <f t="shared" si="0"/>
        <v>450.368842</v>
      </c>
    </row>
    <row r="55" spans="1:6" ht="42.75" customHeight="1" hidden="1">
      <c r="A55" s="1">
        <v>51</v>
      </c>
      <c r="B55" s="5"/>
      <c r="C55" s="8"/>
      <c r="D55" s="11"/>
      <c r="E55" s="9">
        <f aca="true" t="shared" si="2" ref="E55:E60">D55*1.15</f>
        <v>0</v>
      </c>
      <c r="F55" s="119">
        <f t="shared" si="0"/>
        <v>0</v>
      </c>
    </row>
    <row r="56" spans="1:6" ht="42.75" customHeight="1" hidden="1">
      <c r="A56" s="1">
        <v>52</v>
      </c>
      <c r="B56" s="5"/>
      <c r="C56" s="8"/>
      <c r="D56" s="11"/>
      <c r="E56" s="9">
        <f t="shared" si="2"/>
        <v>0</v>
      </c>
      <c r="F56" s="119">
        <f t="shared" si="0"/>
        <v>0</v>
      </c>
    </row>
    <row r="57" spans="1:6" ht="42.75" customHeight="1" hidden="1">
      <c r="A57" s="1">
        <v>53</v>
      </c>
      <c r="B57" s="5"/>
      <c r="C57" s="8"/>
      <c r="D57" s="11"/>
      <c r="E57" s="9">
        <f t="shared" si="2"/>
        <v>0</v>
      </c>
      <c r="F57" s="119">
        <f t="shared" si="0"/>
        <v>0</v>
      </c>
    </row>
    <row r="58" spans="1:6" ht="54.75" customHeight="1" hidden="1">
      <c r="A58" s="1">
        <v>54</v>
      </c>
      <c r="B58" s="5"/>
      <c r="C58" s="8"/>
      <c r="D58" s="11"/>
      <c r="E58" s="9">
        <f t="shared" si="2"/>
        <v>0</v>
      </c>
      <c r="F58" s="119">
        <f t="shared" si="0"/>
        <v>0</v>
      </c>
    </row>
    <row r="59" spans="1:6" ht="42.75" customHeight="1" hidden="1">
      <c r="A59" s="1">
        <v>55</v>
      </c>
      <c r="B59" s="5"/>
      <c r="C59" s="8"/>
      <c r="D59" s="11"/>
      <c r="E59" s="9">
        <f t="shared" si="2"/>
        <v>0</v>
      </c>
      <c r="F59" s="119">
        <f t="shared" si="0"/>
        <v>0</v>
      </c>
    </row>
    <row r="60" spans="1:6" ht="42.75" customHeight="1" hidden="1">
      <c r="A60" s="1">
        <v>56</v>
      </c>
      <c r="B60" s="5"/>
      <c r="C60" s="8"/>
      <c r="D60" s="11"/>
      <c r="E60" s="9">
        <f t="shared" si="2"/>
        <v>0</v>
      </c>
      <c r="F60" s="119">
        <f t="shared" si="0"/>
        <v>0</v>
      </c>
    </row>
    <row r="61" spans="1:6" ht="42.75" customHeight="1" hidden="1">
      <c r="A61" s="1">
        <v>57</v>
      </c>
      <c r="B61" s="5"/>
      <c r="C61" s="8"/>
      <c r="D61" s="11"/>
      <c r="E61" s="11"/>
      <c r="F61" s="119">
        <f t="shared" si="0"/>
        <v>0</v>
      </c>
    </row>
    <row r="62" spans="1:6" ht="42.75" customHeight="1" hidden="1">
      <c r="A62" s="1">
        <v>58</v>
      </c>
      <c r="B62" s="5"/>
      <c r="C62" s="8"/>
      <c r="D62" s="11"/>
      <c r="E62" s="11"/>
      <c r="F62" s="119">
        <f t="shared" si="0"/>
        <v>0</v>
      </c>
    </row>
    <row r="63" spans="1:6" ht="42.75" customHeight="1" hidden="1">
      <c r="A63" s="1">
        <v>59</v>
      </c>
      <c r="B63" s="5"/>
      <c r="C63" s="8"/>
      <c r="D63" s="11"/>
      <c r="E63" s="11"/>
      <c r="F63" s="119">
        <f t="shared" si="0"/>
        <v>0</v>
      </c>
    </row>
    <row r="64" spans="1:6" ht="42.75" customHeight="1" hidden="1">
      <c r="A64" s="1">
        <v>60</v>
      </c>
      <c r="B64" s="5"/>
      <c r="C64" s="8"/>
      <c r="D64" s="11"/>
      <c r="E64" s="11"/>
      <c r="F64" s="119">
        <f t="shared" si="0"/>
        <v>0</v>
      </c>
    </row>
    <row r="65" spans="1:6" ht="42.75" customHeight="1" hidden="1">
      <c r="A65" s="1">
        <v>61</v>
      </c>
      <c r="B65" s="5"/>
      <c r="C65" s="8"/>
      <c r="D65" s="11"/>
      <c r="E65" s="11"/>
      <c r="F65" s="119">
        <f t="shared" si="0"/>
        <v>0</v>
      </c>
    </row>
    <row r="66" spans="1:6" ht="51" customHeight="1">
      <c r="A66" s="127"/>
      <c r="B66" s="128" t="s">
        <v>681</v>
      </c>
      <c r="C66" s="129"/>
      <c r="D66" s="130">
        <f>SUM(D54:D65)</f>
        <v>1892</v>
      </c>
      <c r="E66" s="130">
        <f>SUM(E54:E65)</f>
        <v>2175.7999999999997</v>
      </c>
      <c r="F66" s="131">
        <f t="shared" si="0"/>
        <v>450.368842</v>
      </c>
    </row>
    <row r="67" spans="1:6" ht="26.25">
      <c r="A67" s="1"/>
      <c r="B67" s="5" t="s">
        <v>682</v>
      </c>
      <c r="C67" s="8"/>
      <c r="D67" s="11"/>
      <c r="E67" s="11"/>
      <c r="F67" s="119"/>
    </row>
    <row r="68" spans="1:6" ht="52.5">
      <c r="A68" s="1">
        <v>1</v>
      </c>
      <c r="B68" s="8" t="s">
        <v>683</v>
      </c>
      <c r="C68" s="8" t="s">
        <v>684</v>
      </c>
      <c r="D68" s="9">
        <v>51</v>
      </c>
      <c r="E68" s="9">
        <v>186</v>
      </c>
      <c r="F68" s="119">
        <f t="shared" si="0"/>
        <v>38.50014</v>
      </c>
    </row>
    <row r="69" spans="1:6" ht="62.25" customHeight="1" hidden="1">
      <c r="A69" s="1">
        <v>65</v>
      </c>
      <c r="B69" s="8" t="s">
        <v>687</v>
      </c>
      <c r="C69" s="8" t="s">
        <v>688</v>
      </c>
      <c r="D69" s="11"/>
      <c r="E69" s="11"/>
      <c r="F69" s="119">
        <f t="shared" si="0"/>
        <v>0</v>
      </c>
    </row>
    <row r="70" spans="1:6" ht="51" customHeight="1">
      <c r="A70" s="127"/>
      <c r="B70" s="128" t="s">
        <v>691</v>
      </c>
      <c r="C70" s="129"/>
      <c r="D70" s="130">
        <f>SUM(D68:D69)</f>
        <v>51</v>
      </c>
      <c r="E70" s="130">
        <f>SUM(E68:E69)</f>
        <v>186</v>
      </c>
      <c r="F70" s="131">
        <f t="shared" si="0"/>
        <v>38.50014</v>
      </c>
    </row>
    <row r="71" spans="1:6" ht="26.25">
      <c r="A71" s="1"/>
      <c r="B71" s="5" t="s">
        <v>692</v>
      </c>
      <c r="C71" s="8"/>
      <c r="D71" s="11"/>
      <c r="E71" s="11"/>
      <c r="F71" s="119">
        <f aca="true" t="shared" si="3" ref="F71:F134">E71*$C$278/1000</f>
        <v>0</v>
      </c>
    </row>
    <row r="72" spans="1:6" ht="26.25">
      <c r="A72" s="1">
        <v>1</v>
      </c>
      <c r="B72" s="8" t="s">
        <v>444</v>
      </c>
      <c r="C72" s="8" t="s">
        <v>693</v>
      </c>
      <c r="D72" s="9">
        <v>42</v>
      </c>
      <c r="E72" s="9">
        <v>72</v>
      </c>
      <c r="F72" s="119">
        <f t="shared" si="3"/>
        <v>14.90328</v>
      </c>
    </row>
    <row r="73" spans="1:6" ht="26.25">
      <c r="A73" s="1">
        <v>2</v>
      </c>
      <c r="B73" s="8" t="s">
        <v>445</v>
      </c>
      <c r="C73" s="8" t="s">
        <v>696</v>
      </c>
      <c r="D73" s="9">
        <v>133</v>
      </c>
      <c r="E73" s="9">
        <v>182</v>
      </c>
      <c r="F73" s="119">
        <f t="shared" si="3"/>
        <v>37.67218</v>
      </c>
    </row>
    <row r="74" spans="1:6" ht="26.25">
      <c r="A74" s="1">
        <v>3</v>
      </c>
      <c r="B74" s="8" t="s">
        <v>697</v>
      </c>
      <c r="C74" s="8" t="s">
        <v>698</v>
      </c>
      <c r="D74" s="9">
        <v>226</v>
      </c>
      <c r="E74" s="9">
        <v>295</v>
      </c>
      <c r="F74" s="119">
        <f t="shared" si="3"/>
        <v>61.062050000000006</v>
      </c>
    </row>
    <row r="75" spans="1:6" ht="26.25">
      <c r="A75" s="1">
        <v>4</v>
      </c>
      <c r="B75" s="8" t="s">
        <v>697</v>
      </c>
      <c r="C75" s="8" t="s">
        <v>700</v>
      </c>
      <c r="D75" s="9">
        <v>220</v>
      </c>
      <c r="E75" s="9">
        <v>368</v>
      </c>
      <c r="F75" s="119">
        <f t="shared" si="3"/>
        <v>76.17232000000001</v>
      </c>
    </row>
    <row r="76" spans="1:6" ht="26.25">
      <c r="A76" s="1">
        <v>5</v>
      </c>
      <c r="B76" s="8" t="s">
        <v>701</v>
      </c>
      <c r="C76" s="8" t="s">
        <v>689</v>
      </c>
      <c r="D76" s="9">
        <v>570</v>
      </c>
      <c r="E76" s="9">
        <v>767</v>
      </c>
      <c r="F76" s="119">
        <f t="shared" si="3"/>
        <v>158.76133000000002</v>
      </c>
    </row>
    <row r="77" spans="1:6" ht="26.25">
      <c r="A77" s="1">
        <v>6</v>
      </c>
      <c r="B77" s="8" t="s">
        <v>702</v>
      </c>
      <c r="C77" s="8" t="s">
        <v>689</v>
      </c>
      <c r="D77" s="9">
        <v>75</v>
      </c>
      <c r="E77" s="9">
        <v>78</v>
      </c>
      <c r="F77" s="119">
        <f t="shared" si="3"/>
        <v>16.145220000000002</v>
      </c>
    </row>
    <row r="78" spans="1:6" ht="26.25">
      <c r="A78" s="1">
        <v>7</v>
      </c>
      <c r="B78" s="8" t="s">
        <v>703</v>
      </c>
      <c r="C78" s="8" t="s">
        <v>689</v>
      </c>
      <c r="D78" s="4">
        <v>28</v>
      </c>
      <c r="E78" s="4">
        <v>99</v>
      </c>
      <c r="F78" s="119">
        <f t="shared" si="3"/>
        <v>20.49201</v>
      </c>
    </row>
    <row r="79" spans="1:6" ht="26.25" hidden="1">
      <c r="A79" s="1">
        <v>8</v>
      </c>
      <c r="B79" s="8" t="s">
        <v>704</v>
      </c>
      <c r="C79" s="8" t="s">
        <v>689</v>
      </c>
      <c r="D79" s="9"/>
      <c r="E79" s="9"/>
      <c r="F79" s="119">
        <f t="shared" si="3"/>
        <v>0</v>
      </c>
    </row>
    <row r="80" spans="1:6" ht="26.25" hidden="1">
      <c r="A80" s="1">
        <v>9</v>
      </c>
      <c r="B80" s="8" t="s">
        <v>705</v>
      </c>
      <c r="C80" s="8" t="s">
        <v>689</v>
      </c>
      <c r="D80" s="9"/>
      <c r="E80" s="9"/>
      <c r="F80" s="119">
        <f t="shared" si="3"/>
        <v>0</v>
      </c>
    </row>
    <row r="81" spans="1:6" ht="26.25" hidden="1">
      <c r="A81" s="1">
        <v>10</v>
      </c>
      <c r="B81" s="8" t="s">
        <v>707</v>
      </c>
      <c r="C81" s="8" t="s">
        <v>689</v>
      </c>
      <c r="D81" s="9"/>
      <c r="E81" s="9"/>
      <c r="F81" s="119">
        <f t="shared" si="3"/>
        <v>0</v>
      </c>
    </row>
    <row r="82" spans="1:6" ht="26.25" hidden="1">
      <c r="A82" s="1">
        <v>11</v>
      </c>
      <c r="B82" s="8" t="s">
        <v>708</v>
      </c>
      <c r="C82" s="8" t="s">
        <v>689</v>
      </c>
      <c r="D82" s="9"/>
      <c r="E82" s="9"/>
      <c r="F82" s="119">
        <f t="shared" si="3"/>
        <v>0</v>
      </c>
    </row>
    <row r="83" spans="1:6" ht="26.25" hidden="1">
      <c r="A83" s="1">
        <v>12</v>
      </c>
      <c r="B83" s="8" t="s">
        <v>709</v>
      </c>
      <c r="C83" s="8" t="s">
        <v>689</v>
      </c>
      <c r="D83" s="9"/>
      <c r="E83" s="9"/>
      <c r="F83" s="119">
        <f t="shared" si="3"/>
        <v>0</v>
      </c>
    </row>
    <row r="84" spans="1:6" ht="52.5" hidden="1">
      <c r="A84" s="1">
        <v>13</v>
      </c>
      <c r="B84" s="8" t="s">
        <v>664</v>
      </c>
      <c r="C84" s="8" t="s">
        <v>689</v>
      </c>
      <c r="D84" s="9"/>
      <c r="E84" s="9"/>
      <c r="F84" s="119">
        <f t="shared" si="3"/>
        <v>0</v>
      </c>
    </row>
    <row r="85" spans="1:6" ht="26.25">
      <c r="A85" s="1">
        <v>14</v>
      </c>
      <c r="B85" s="8" t="s">
        <v>711</v>
      </c>
      <c r="C85" s="8" t="s">
        <v>689</v>
      </c>
      <c r="D85" s="9">
        <v>16</v>
      </c>
      <c r="E85" s="9">
        <v>10</v>
      </c>
      <c r="F85" s="119">
        <f t="shared" si="3"/>
        <v>2.0699</v>
      </c>
    </row>
    <row r="86" spans="1:6" ht="26.25">
      <c r="A86" s="1">
        <v>15</v>
      </c>
      <c r="B86" s="8" t="s">
        <v>713</v>
      </c>
      <c r="C86" s="8" t="s">
        <v>714</v>
      </c>
      <c r="D86" s="9">
        <v>45</v>
      </c>
      <c r="E86" s="9">
        <v>65</v>
      </c>
      <c r="F86" s="119">
        <f t="shared" si="3"/>
        <v>13.45435</v>
      </c>
    </row>
    <row r="87" spans="1:6" ht="26.25">
      <c r="A87" s="1">
        <v>16</v>
      </c>
      <c r="B87" s="8" t="s">
        <v>716</v>
      </c>
      <c r="C87" s="8" t="s">
        <v>717</v>
      </c>
      <c r="D87" s="25">
        <v>913</v>
      </c>
      <c r="E87" s="9">
        <f>373+175</f>
        <v>548</v>
      </c>
      <c r="F87" s="119">
        <f t="shared" si="3"/>
        <v>113.43052</v>
      </c>
    </row>
    <row r="88" spans="1:6" ht="26.25">
      <c r="A88" s="1">
        <v>17</v>
      </c>
      <c r="B88" s="8" t="s">
        <v>719</v>
      </c>
      <c r="C88" s="8" t="s">
        <v>721</v>
      </c>
      <c r="D88" s="9">
        <v>56</v>
      </c>
      <c r="E88" s="9">
        <v>37</v>
      </c>
      <c r="F88" s="119">
        <f t="shared" si="3"/>
        <v>7.6586300000000005</v>
      </c>
    </row>
    <row r="89" spans="1:6" ht="26.25">
      <c r="A89" s="1">
        <v>18</v>
      </c>
      <c r="B89" s="8" t="s">
        <v>720</v>
      </c>
      <c r="C89" s="8" t="s">
        <v>722</v>
      </c>
      <c r="D89" s="9">
        <v>337</v>
      </c>
      <c r="E89" s="9">
        <v>211</v>
      </c>
      <c r="F89" s="119">
        <f t="shared" si="3"/>
        <v>43.67489</v>
      </c>
    </row>
    <row r="90" spans="1:6" ht="52.5">
      <c r="A90" s="1">
        <v>19</v>
      </c>
      <c r="B90" s="8" t="s">
        <v>723</v>
      </c>
      <c r="C90" s="8" t="s">
        <v>689</v>
      </c>
      <c r="D90" s="9">
        <v>237</v>
      </c>
      <c r="E90" s="9">
        <v>143</v>
      </c>
      <c r="F90" s="119">
        <f t="shared" si="3"/>
        <v>29.59957</v>
      </c>
    </row>
    <row r="91" spans="1:6" ht="26.25">
      <c r="A91" s="1">
        <v>20</v>
      </c>
      <c r="B91" s="8" t="s">
        <v>724</v>
      </c>
      <c r="C91" s="8" t="s">
        <v>689</v>
      </c>
      <c r="D91" s="9">
        <v>46</v>
      </c>
      <c r="E91" s="9">
        <v>31</v>
      </c>
      <c r="F91" s="119">
        <f t="shared" si="3"/>
        <v>6.416690000000001</v>
      </c>
    </row>
    <row r="92" spans="1:6" ht="42.75" customHeight="1" hidden="1">
      <c r="A92" s="1">
        <v>21</v>
      </c>
      <c r="B92" s="8" t="s">
        <v>726</v>
      </c>
      <c r="C92" s="8" t="s">
        <v>689</v>
      </c>
      <c r="D92" s="9"/>
      <c r="E92" s="9"/>
      <c r="F92" s="119">
        <f t="shared" si="3"/>
        <v>0</v>
      </c>
    </row>
    <row r="93" spans="1:6" ht="26.25">
      <c r="A93" s="1">
        <v>22</v>
      </c>
      <c r="B93" s="8" t="s">
        <v>727</v>
      </c>
      <c r="C93" s="8" t="s">
        <v>689</v>
      </c>
      <c r="D93" s="9">
        <v>60</v>
      </c>
      <c r="E93" s="9">
        <v>41</v>
      </c>
      <c r="F93" s="119">
        <f t="shared" si="3"/>
        <v>8.48659</v>
      </c>
    </row>
    <row r="94" spans="1:6" ht="26.25">
      <c r="A94" s="1">
        <v>23</v>
      </c>
      <c r="B94" s="8" t="s">
        <v>728</v>
      </c>
      <c r="C94" s="8" t="s">
        <v>689</v>
      </c>
      <c r="D94" s="9">
        <v>945</v>
      </c>
      <c r="E94" s="9">
        <v>476</v>
      </c>
      <c r="F94" s="119">
        <f t="shared" si="3"/>
        <v>98.52724</v>
      </c>
    </row>
    <row r="95" spans="1:6" ht="26.25">
      <c r="A95" s="1">
        <v>24</v>
      </c>
      <c r="B95" s="8" t="s">
        <v>729</v>
      </c>
      <c r="C95" s="8" t="s">
        <v>730</v>
      </c>
      <c r="D95" s="9">
        <v>832</v>
      </c>
      <c r="E95" s="9">
        <v>1727</v>
      </c>
      <c r="F95" s="119">
        <f t="shared" si="3"/>
        <v>357.47173000000004</v>
      </c>
    </row>
    <row r="96" spans="1:6" ht="26.25">
      <c r="A96" s="1">
        <v>25</v>
      </c>
      <c r="B96" s="8" t="s">
        <v>732</v>
      </c>
      <c r="C96" s="8" t="s">
        <v>700</v>
      </c>
      <c r="D96" s="9">
        <v>802</v>
      </c>
      <c r="E96" s="9">
        <v>1470</v>
      </c>
      <c r="F96" s="119">
        <f t="shared" si="3"/>
        <v>304.2753</v>
      </c>
    </row>
    <row r="97" spans="1:6" ht="26.25">
      <c r="A97" s="1">
        <v>26</v>
      </c>
      <c r="B97" s="8" t="s">
        <v>733</v>
      </c>
      <c r="C97" s="8" t="s">
        <v>734</v>
      </c>
      <c r="D97" s="9">
        <v>882</v>
      </c>
      <c r="E97" s="9">
        <v>3152</v>
      </c>
      <c r="F97" s="119">
        <f t="shared" si="3"/>
        <v>652.4324799999999</v>
      </c>
    </row>
    <row r="98" spans="1:6" ht="50.25" customHeight="1">
      <c r="A98" s="127"/>
      <c r="B98" s="128" t="s">
        <v>735</v>
      </c>
      <c r="C98" s="129"/>
      <c r="D98" s="130">
        <f>SUM(D72:D97)</f>
        <v>6465</v>
      </c>
      <c r="E98" s="130">
        <f>SUM(E72:E97)</f>
        <v>9772</v>
      </c>
      <c r="F98" s="131">
        <f t="shared" si="3"/>
        <v>2022.70628</v>
      </c>
    </row>
    <row r="99" spans="1:6" ht="26.25">
      <c r="A99" s="1"/>
      <c r="B99" s="5" t="s">
        <v>736</v>
      </c>
      <c r="C99" s="8"/>
      <c r="D99" s="9"/>
      <c r="E99" s="9"/>
      <c r="F99" s="119"/>
    </row>
    <row r="100" spans="1:6" ht="26.25">
      <c r="A100" s="1">
        <v>1</v>
      </c>
      <c r="B100" s="8" t="s">
        <v>738</v>
      </c>
      <c r="C100" s="63" t="s">
        <v>737</v>
      </c>
      <c r="D100" s="9">
        <v>1145</v>
      </c>
      <c r="E100" s="9">
        <v>377</v>
      </c>
      <c r="F100" s="119">
        <f t="shared" si="3"/>
        <v>78.03523000000001</v>
      </c>
    </row>
    <row r="101" spans="1:6" ht="26.25">
      <c r="A101" s="1">
        <v>2</v>
      </c>
      <c r="B101" s="8" t="s">
        <v>738</v>
      </c>
      <c r="C101" s="63" t="s">
        <v>737</v>
      </c>
      <c r="D101" s="9">
        <v>1750</v>
      </c>
      <c r="E101" s="9">
        <v>454</v>
      </c>
      <c r="F101" s="119">
        <f t="shared" si="3"/>
        <v>93.97346</v>
      </c>
    </row>
    <row r="102" spans="1:6" ht="26.25">
      <c r="A102" s="1">
        <v>3</v>
      </c>
      <c r="B102" s="8" t="s">
        <v>738</v>
      </c>
      <c r="C102" s="63" t="s">
        <v>737</v>
      </c>
      <c r="D102" s="9">
        <v>948</v>
      </c>
      <c r="E102" s="9">
        <v>302</v>
      </c>
      <c r="F102" s="119">
        <f t="shared" si="3"/>
        <v>62.51098</v>
      </c>
    </row>
    <row r="103" spans="1:6" ht="26.25">
      <c r="A103" s="1">
        <v>4</v>
      </c>
      <c r="B103" s="8" t="s">
        <v>738</v>
      </c>
      <c r="C103" s="63" t="s">
        <v>737</v>
      </c>
      <c r="D103" s="9">
        <v>676</v>
      </c>
      <c r="E103" s="9">
        <v>340</v>
      </c>
      <c r="F103" s="119">
        <f t="shared" si="3"/>
        <v>70.37660000000001</v>
      </c>
    </row>
    <row r="104" spans="1:6" ht="26.25">
      <c r="A104" s="1">
        <v>5</v>
      </c>
      <c r="B104" s="8" t="s">
        <v>738</v>
      </c>
      <c r="C104" s="63" t="s">
        <v>737</v>
      </c>
      <c r="D104" s="9">
        <v>493</v>
      </c>
      <c r="E104" s="9">
        <v>168</v>
      </c>
      <c r="F104" s="119">
        <f t="shared" si="3"/>
        <v>34.77432</v>
      </c>
    </row>
    <row r="105" spans="1:6" ht="81.75" customHeight="1" hidden="1">
      <c r="A105" s="1">
        <v>101</v>
      </c>
      <c r="B105" s="8" t="s">
        <v>738</v>
      </c>
      <c r="C105" s="5" t="s">
        <v>737</v>
      </c>
      <c r="D105" s="9"/>
      <c r="E105" s="9"/>
      <c r="F105" s="119">
        <f t="shared" si="3"/>
        <v>0</v>
      </c>
    </row>
    <row r="106" spans="1:6" ht="42.75" customHeight="1" hidden="1">
      <c r="A106" s="1">
        <v>102</v>
      </c>
      <c r="B106" s="8" t="s">
        <v>738</v>
      </c>
      <c r="C106" s="5" t="s">
        <v>737</v>
      </c>
      <c r="D106" s="9"/>
      <c r="E106" s="9"/>
      <c r="F106" s="119">
        <f t="shared" si="3"/>
        <v>0</v>
      </c>
    </row>
    <row r="107" spans="1:6" ht="64.5" customHeight="1" hidden="1">
      <c r="A107" s="1">
        <v>103</v>
      </c>
      <c r="B107" s="8" t="s">
        <v>738</v>
      </c>
      <c r="C107" s="5" t="s">
        <v>737</v>
      </c>
      <c r="D107" s="9"/>
      <c r="E107" s="9"/>
      <c r="F107" s="119">
        <f t="shared" si="3"/>
        <v>0</v>
      </c>
    </row>
    <row r="108" spans="1:6" ht="42.75" customHeight="1" hidden="1">
      <c r="A108" s="1">
        <v>104</v>
      </c>
      <c r="B108" s="8" t="s">
        <v>738</v>
      </c>
      <c r="C108" s="5" t="s">
        <v>737</v>
      </c>
      <c r="D108" s="9"/>
      <c r="E108" s="9"/>
      <c r="F108" s="119">
        <f t="shared" si="3"/>
        <v>0</v>
      </c>
    </row>
    <row r="109" spans="1:6" ht="42.75" customHeight="1" hidden="1">
      <c r="A109" s="1">
        <v>105</v>
      </c>
      <c r="B109" s="8" t="s">
        <v>738</v>
      </c>
      <c r="C109" s="5" t="s">
        <v>737</v>
      </c>
      <c r="D109" s="9"/>
      <c r="E109" s="9"/>
      <c r="F109" s="119">
        <f t="shared" si="3"/>
        <v>0</v>
      </c>
    </row>
    <row r="110" spans="1:6" ht="42.75" customHeight="1" hidden="1">
      <c r="A110" s="1">
        <v>106</v>
      </c>
      <c r="B110" s="8" t="s">
        <v>738</v>
      </c>
      <c r="C110" s="5" t="s">
        <v>737</v>
      </c>
      <c r="D110" s="9"/>
      <c r="E110" s="9"/>
      <c r="F110" s="119">
        <f t="shared" si="3"/>
        <v>0</v>
      </c>
    </row>
    <row r="111" spans="1:6" ht="51">
      <c r="A111" s="127"/>
      <c r="B111" s="128" t="s">
        <v>746</v>
      </c>
      <c r="C111" s="128"/>
      <c r="D111" s="133">
        <f>SUM(D100:D110)</f>
        <v>5012</v>
      </c>
      <c r="E111" s="133">
        <f>SUM(E100:E110)</f>
        <v>1641</v>
      </c>
      <c r="F111" s="131">
        <f t="shared" si="3"/>
        <v>339.67059</v>
      </c>
    </row>
    <row r="112" spans="1:6" ht="26.25">
      <c r="A112" s="1"/>
      <c r="B112" s="5" t="s">
        <v>747</v>
      </c>
      <c r="C112" s="8"/>
      <c r="D112" s="9"/>
      <c r="E112" s="9"/>
      <c r="F112" s="119"/>
    </row>
    <row r="113" spans="1:6" ht="26.25">
      <c r="A113" s="1">
        <v>1</v>
      </c>
      <c r="B113" s="12" t="s">
        <v>758</v>
      </c>
      <c r="C113" s="12" t="s">
        <v>748</v>
      </c>
      <c r="D113" s="9">
        <v>999</v>
      </c>
      <c r="E113" s="9">
        <v>1664</v>
      </c>
      <c r="F113" s="119">
        <f t="shared" si="3"/>
        <v>344.43136</v>
      </c>
    </row>
    <row r="114" spans="1:6" ht="26.25" hidden="1">
      <c r="A114" s="1">
        <v>110</v>
      </c>
      <c r="B114" s="8"/>
      <c r="C114" s="8" t="s">
        <v>756</v>
      </c>
      <c r="D114" s="9"/>
      <c r="E114" s="9"/>
      <c r="F114" s="119">
        <f t="shared" si="3"/>
        <v>0</v>
      </c>
    </row>
    <row r="115" spans="1:6" ht="26.25" hidden="1">
      <c r="A115" s="1">
        <v>111</v>
      </c>
      <c r="B115" s="8"/>
      <c r="C115" s="8" t="s">
        <v>688</v>
      </c>
      <c r="D115" s="9"/>
      <c r="E115" s="9"/>
      <c r="F115" s="119">
        <f t="shared" si="3"/>
        <v>0</v>
      </c>
    </row>
    <row r="116" spans="1:6" ht="26.25" hidden="1">
      <c r="A116" s="1">
        <v>112</v>
      </c>
      <c r="B116" s="8"/>
      <c r="C116" s="8" t="s">
        <v>757</v>
      </c>
      <c r="D116" s="9"/>
      <c r="E116" s="9"/>
      <c r="F116" s="119">
        <f t="shared" si="3"/>
        <v>0</v>
      </c>
    </row>
    <row r="117" spans="1:6" ht="26.25" hidden="1">
      <c r="A117" s="1">
        <v>113</v>
      </c>
      <c r="B117" s="8"/>
      <c r="C117" s="8" t="s">
        <v>756</v>
      </c>
      <c r="D117" s="9"/>
      <c r="E117" s="9"/>
      <c r="F117" s="119">
        <f t="shared" si="3"/>
        <v>0</v>
      </c>
    </row>
    <row r="118" spans="1:6" ht="26.25" hidden="1">
      <c r="A118" s="1">
        <v>114</v>
      </c>
      <c r="B118" s="8"/>
      <c r="C118" s="8" t="s">
        <v>757</v>
      </c>
      <c r="D118" s="9"/>
      <c r="E118" s="9"/>
      <c r="F118" s="119">
        <f t="shared" si="3"/>
        <v>0</v>
      </c>
    </row>
    <row r="119" spans="1:6" ht="51">
      <c r="A119" s="134"/>
      <c r="B119" s="135" t="s">
        <v>755</v>
      </c>
      <c r="C119" s="136"/>
      <c r="D119" s="137">
        <f>SUM(D113:D118)</f>
        <v>999</v>
      </c>
      <c r="E119" s="138">
        <f>SUM(E113:E118)</f>
        <v>1664</v>
      </c>
      <c r="F119" s="139">
        <f t="shared" si="3"/>
        <v>344.43136</v>
      </c>
    </row>
    <row r="120" spans="1:6" ht="26.25">
      <c r="A120" s="1">
        <v>1</v>
      </c>
      <c r="B120" s="8" t="s">
        <v>759</v>
      </c>
      <c r="C120" s="12" t="s">
        <v>760</v>
      </c>
      <c r="D120" s="9">
        <v>29</v>
      </c>
      <c r="E120" s="9">
        <v>20</v>
      </c>
      <c r="F120" s="119">
        <f t="shared" si="3"/>
        <v>4.1398</v>
      </c>
    </row>
    <row r="121" spans="1:6" ht="26.25" hidden="1">
      <c r="A121" s="1">
        <v>117</v>
      </c>
      <c r="B121" s="8"/>
      <c r="C121" s="12" t="s">
        <v>777</v>
      </c>
      <c r="D121" s="9"/>
      <c r="E121" s="9"/>
      <c r="F121" s="119">
        <f t="shared" si="3"/>
        <v>0</v>
      </c>
    </row>
    <row r="122" spans="1:6" ht="26.25">
      <c r="A122" s="1">
        <v>2</v>
      </c>
      <c r="B122" s="8" t="s">
        <v>761</v>
      </c>
      <c r="C122" s="12" t="s">
        <v>777</v>
      </c>
      <c r="D122" s="9">
        <v>24</v>
      </c>
      <c r="E122" s="9">
        <v>20</v>
      </c>
      <c r="F122" s="119">
        <f t="shared" si="3"/>
        <v>4.1398</v>
      </c>
    </row>
    <row r="123" spans="1:6" ht="26.25" hidden="1">
      <c r="A123" s="1">
        <v>119</v>
      </c>
      <c r="B123" s="8" t="s">
        <v>759</v>
      </c>
      <c r="C123" s="12" t="s">
        <v>689</v>
      </c>
      <c r="D123" s="9"/>
      <c r="E123" s="9"/>
      <c r="F123" s="119">
        <f t="shared" si="3"/>
        <v>0</v>
      </c>
    </row>
    <row r="124" spans="1:6" ht="26.25" hidden="1">
      <c r="A124" s="1">
        <v>120</v>
      </c>
      <c r="B124" s="8" t="s">
        <v>759</v>
      </c>
      <c r="C124" s="12" t="s">
        <v>689</v>
      </c>
      <c r="D124" s="9"/>
      <c r="E124" s="9"/>
      <c r="F124" s="119">
        <f t="shared" si="3"/>
        <v>0</v>
      </c>
    </row>
    <row r="125" spans="1:6" ht="26.25" hidden="1">
      <c r="A125" s="1">
        <v>121</v>
      </c>
      <c r="B125" s="8" t="s">
        <v>762</v>
      </c>
      <c r="C125" s="12" t="s">
        <v>689</v>
      </c>
      <c r="D125" s="4"/>
      <c r="E125" s="4"/>
      <c r="F125" s="119">
        <f t="shared" si="3"/>
        <v>0</v>
      </c>
    </row>
    <row r="126" spans="1:6" ht="26.25" hidden="1">
      <c r="A126" s="1">
        <v>122</v>
      </c>
      <c r="B126" s="8" t="s">
        <v>761</v>
      </c>
      <c r="C126" s="12" t="s">
        <v>689</v>
      </c>
      <c r="D126" s="4"/>
      <c r="E126" s="4"/>
      <c r="F126" s="119">
        <f t="shared" si="3"/>
        <v>0</v>
      </c>
    </row>
    <row r="127" spans="1:6" ht="26.25" hidden="1">
      <c r="A127" s="1">
        <v>123</v>
      </c>
      <c r="B127" s="8" t="s">
        <v>759</v>
      </c>
      <c r="C127" s="12" t="s">
        <v>689</v>
      </c>
      <c r="D127" s="4"/>
      <c r="E127" s="4"/>
      <c r="F127" s="119">
        <f t="shared" si="3"/>
        <v>0</v>
      </c>
    </row>
    <row r="128" spans="1:6" ht="26.25" hidden="1">
      <c r="A128" s="1">
        <v>124</v>
      </c>
      <c r="B128" s="8" t="s">
        <v>759</v>
      </c>
      <c r="C128" s="12" t="s">
        <v>777</v>
      </c>
      <c r="D128" s="4"/>
      <c r="E128" s="4"/>
      <c r="F128" s="119">
        <f t="shared" si="3"/>
        <v>0</v>
      </c>
    </row>
    <row r="129" spans="1:6" ht="26.25" hidden="1">
      <c r="A129" s="1">
        <v>125</v>
      </c>
      <c r="B129" s="8" t="s">
        <v>759</v>
      </c>
      <c r="C129" s="12" t="s">
        <v>777</v>
      </c>
      <c r="D129" s="4"/>
      <c r="E129" s="4"/>
      <c r="F129" s="119">
        <f t="shared" si="3"/>
        <v>0</v>
      </c>
    </row>
    <row r="130" spans="1:6" ht="52.5">
      <c r="A130" s="1">
        <v>3</v>
      </c>
      <c r="B130" s="8" t="s">
        <v>761</v>
      </c>
      <c r="C130" s="12" t="s">
        <v>106</v>
      </c>
      <c r="D130" s="4">
        <v>12</v>
      </c>
      <c r="E130" s="4">
        <v>6</v>
      </c>
      <c r="F130" s="119">
        <f t="shared" si="3"/>
        <v>1.24194</v>
      </c>
    </row>
    <row r="131" spans="1:6" ht="52.5">
      <c r="A131" s="1">
        <v>4</v>
      </c>
      <c r="B131" s="8" t="s">
        <v>761</v>
      </c>
      <c r="C131" s="12" t="s">
        <v>106</v>
      </c>
      <c r="D131" s="4">
        <v>12</v>
      </c>
      <c r="E131" s="4">
        <v>6</v>
      </c>
      <c r="F131" s="119">
        <f t="shared" si="3"/>
        <v>1.24194</v>
      </c>
    </row>
    <row r="132" spans="1:6" ht="52.5" hidden="1">
      <c r="A132" s="1">
        <v>128</v>
      </c>
      <c r="B132" s="8"/>
      <c r="C132" s="12" t="s">
        <v>106</v>
      </c>
      <c r="D132" s="4"/>
      <c r="E132" s="4"/>
      <c r="F132" s="119">
        <f t="shared" si="3"/>
        <v>0</v>
      </c>
    </row>
    <row r="133" spans="1:6" ht="51" customHeight="1">
      <c r="A133" s="3"/>
      <c r="B133" s="122" t="s">
        <v>778</v>
      </c>
      <c r="C133" s="123"/>
      <c r="D133" s="16">
        <f>SUM(D120:D132)</f>
        <v>77</v>
      </c>
      <c r="E133" s="16">
        <f>SUM(E120:E132)</f>
        <v>52</v>
      </c>
      <c r="F133" s="140">
        <f t="shared" si="3"/>
        <v>10.76348</v>
      </c>
    </row>
    <row r="134" spans="1:6" ht="26.25">
      <c r="A134" s="1">
        <v>1</v>
      </c>
      <c r="B134" s="12" t="s">
        <v>768</v>
      </c>
      <c r="C134" s="12" t="s">
        <v>777</v>
      </c>
      <c r="D134" s="4">
        <v>16</v>
      </c>
      <c r="E134" s="4">
        <v>16</v>
      </c>
      <c r="F134" s="119">
        <f t="shared" si="3"/>
        <v>3.31184</v>
      </c>
    </row>
    <row r="135" spans="1:6" ht="26.25">
      <c r="A135" s="1">
        <v>2</v>
      </c>
      <c r="B135" s="24"/>
      <c r="C135" s="12" t="s">
        <v>777</v>
      </c>
      <c r="D135" s="4">
        <v>16</v>
      </c>
      <c r="E135" s="4">
        <v>16</v>
      </c>
      <c r="F135" s="119">
        <f aca="true" t="shared" si="4" ref="F135:F198">E135*$C$278/1000</f>
        <v>3.31184</v>
      </c>
    </row>
    <row r="136" spans="1:6" ht="26.25">
      <c r="A136" s="1">
        <v>3</v>
      </c>
      <c r="B136" s="24"/>
      <c r="C136" s="12" t="s">
        <v>777</v>
      </c>
      <c r="D136" s="4">
        <v>16</v>
      </c>
      <c r="E136" s="4">
        <v>16</v>
      </c>
      <c r="F136" s="119">
        <f t="shared" si="4"/>
        <v>3.31184</v>
      </c>
    </row>
    <row r="137" spans="1:6" ht="26.25">
      <c r="A137" s="1">
        <v>4</v>
      </c>
      <c r="B137" s="24"/>
      <c r="C137" s="12" t="s">
        <v>777</v>
      </c>
      <c r="D137" s="4">
        <v>16</v>
      </c>
      <c r="E137" s="4">
        <v>16</v>
      </c>
      <c r="F137" s="119">
        <f t="shared" si="4"/>
        <v>3.31184</v>
      </c>
    </row>
    <row r="138" spans="1:6" ht="26.25">
      <c r="A138" s="1">
        <v>5</v>
      </c>
      <c r="B138" s="24"/>
      <c r="C138" s="12" t="s">
        <v>777</v>
      </c>
      <c r="D138" s="4">
        <v>16</v>
      </c>
      <c r="E138" s="4">
        <v>16</v>
      </c>
      <c r="F138" s="119">
        <f t="shared" si="4"/>
        <v>3.31184</v>
      </c>
    </row>
    <row r="139" spans="1:6" ht="26.25">
      <c r="A139" s="1">
        <v>6</v>
      </c>
      <c r="B139" s="24"/>
      <c r="C139" s="12" t="s">
        <v>777</v>
      </c>
      <c r="D139" s="4">
        <v>16</v>
      </c>
      <c r="E139" s="4">
        <v>16</v>
      </c>
      <c r="F139" s="119">
        <f t="shared" si="4"/>
        <v>3.31184</v>
      </c>
    </row>
    <row r="140" spans="1:6" ht="26.25" hidden="1">
      <c r="A140" s="1">
        <v>136</v>
      </c>
      <c r="B140" s="24"/>
      <c r="C140" s="12" t="s">
        <v>777</v>
      </c>
      <c r="D140" s="4"/>
      <c r="E140" s="4"/>
      <c r="F140" s="119">
        <f t="shared" si="4"/>
        <v>0</v>
      </c>
    </row>
    <row r="141" spans="1:6" ht="26.25" hidden="1">
      <c r="A141" s="1">
        <v>137</v>
      </c>
      <c r="B141" s="24"/>
      <c r="C141" s="12" t="s">
        <v>689</v>
      </c>
      <c r="D141" s="4"/>
      <c r="E141" s="4"/>
      <c r="F141" s="119">
        <f t="shared" si="4"/>
        <v>0</v>
      </c>
    </row>
    <row r="142" spans="1:6" ht="26.25" hidden="1">
      <c r="A142" s="1">
        <v>138</v>
      </c>
      <c r="B142" s="24"/>
      <c r="C142" s="12" t="s">
        <v>689</v>
      </c>
      <c r="D142" s="4"/>
      <c r="E142" s="4"/>
      <c r="F142" s="119">
        <f t="shared" si="4"/>
        <v>0</v>
      </c>
    </row>
    <row r="143" spans="1:6" ht="26.25" hidden="1">
      <c r="A143" s="1">
        <v>139</v>
      </c>
      <c r="B143" s="24"/>
      <c r="C143" s="12" t="s">
        <v>777</v>
      </c>
      <c r="D143" s="4"/>
      <c r="E143" s="4"/>
      <c r="F143" s="119">
        <f t="shared" si="4"/>
        <v>0</v>
      </c>
    </row>
    <row r="144" spans="1:6" ht="51" customHeight="1">
      <c r="A144" s="134"/>
      <c r="B144" s="141" t="s">
        <v>779</v>
      </c>
      <c r="C144" s="142"/>
      <c r="D144" s="143">
        <f>SUM(D134:D143)</f>
        <v>96</v>
      </c>
      <c r="E144" s="143">
        <f>SUM(E134:E143)</f>
        <v>96</v>
      </c>
      <c r="F144" s="139">
        <f t="shared" si="4"/>
        <v>19.87104</v>
      </c>
    </row>
    <row r="145" spans="1:6" ht="26.25">
      <c r="A145" s="1">
        <v>1</v>
      </c>
      <c r="B145" s="121" t="s">
        <v>766</v>
      </c>
      <c r="C145" s="12" t="s">
        <v>767</v>
      </c>
      <c r="D145" s="4">
        <v>454</v>
      </c>
      <c r="E145" s="4">
        <v>848</v>
      </c>
      <c r="F145" s="119">
        <f t="shared" si="4"/>
        <v>175.52752</v>
      </c>
    </row>
    <row r="146" spans="1:6" ht="26.25">
      <c r="A146" s="1">
        <v>2</v>
      </c>
      <c r="B146" s="124"/>
      <c r="C146" s="12" t="s">
        <v>780</v>
      </c>
      <c r="D146" s="4">
        <v>570</v>
      </c>
      <c r="E146" s="4">
        <v>1003</v>
      </c>
      <c r="F146" s="119">
        <f t="shared" si="4"/>
        <v>207.61097</v>
      </c>
    </row>
    <row r="147" spans="1:6" ht="26.25">
      <c r="A147" s="1">
        <v>3</v>
      </c>
      <c r="B147" s="124"/>
      <c r="C147" s="12" t="s">
        <v>781</v>
      </c>
      <c r="D147" s="4">
        <v>450</v>
      </c>
      <c r="E147" s="4">
        <v>797</v>
      </c>
      <c r="F147" s="119">
        <f t="shared" si="4"/>
        <v>164.97102999999998</v>
      </c>
    </row>
    <row r="148" spans="1:6" ht="26.25" hidden="1">
      <c r="A148" s="1">
        <v>144</v>
      </c>
      <c r="B148" s="124"/>
      <c r="C148" s="8" t="s">
        <v>781</v>
      </c>
      <c r="D148" s="7"/>
      <c r="E148" s="7"/>
      <c r="F148" s="119">
        <f t="shared" si="4"/>
        <v>0</v>
      </c>
    </row>
    <row r="149" spans="1:6" ht="26.25" hidden="1">
      <c r="A149" s="1">
        <v>145</v>
      </c>
      <c r="B149" s="124"/>
      <c r="C149" s="8" t="s">
        <v>789</v>
      </c>
      <c r="D149" s="7"/>
      <c r="E149" s="7"/>
      <c r="F149" s="119">
        <f t="shared" si="4"/>
        <v>0</v>
      </c>
    </row>
    <row r="150" spans="1:6" ht="26.25" hidden="1">
      <c r="A150" s="1">
        <v>146</v>
      </c>
      <c r="B150" s="124"/>
      <c r="C150" s="12" t="s">
        <v>782</v>
      </c>
      <c r="D150" s="17"/>
      <c r="E150" s="17"/>
      <c r="F150" s="119">
        <f t="shared" si="4"/>
        <v>0</v>
      </c>
    </row>
    <row r="151" spans="1:6" ht="26.25">
      <c r="A151" s="1">
        <v>4</v>
      </c>
      <c r="B151" s="124"/>
      <c r="C151" s="12" t="s">
        <v>783</v>
      </c>
      <c r="D151" s="4">
        <v>465</v>
      </c>
      <c r="E151" s="4">
        <v>753</v>
      </c>
      <c r="F151" s="119">
        <f t="shared" si="4"/>
        <v>155.86347</v>
      </c>
    </row>
    <row r="152" spans="1:6" ht="26.25">
      <c r="A152" s="1">
        <v>5</v>
      </c>
      <c r="B152" s="124"/>
      <c r="C152" s="12" t="s">
        <v>785</v>
      </c>
      <c r="D152" s="4">
        <v>837</v>
      </c>
      <c r="E152" s="4">
        <v>7376</v>
      </c>
      <c r="F152" s="119">
        <f t="shared" si="4"/>
        <v>1526.75824</v>
      </c>
    </row>
    <row r="153" spans="1:6" ht="50.25" customHeight="1">
      <c r="A153" s="134"/>
      <c r="B153" s="141" t="s">
        <v>790</v>
      </c>
      <c r="C153" s="144"/>
      <c r="D153" s="143">
        <f>SUM(D145:D152)</f>
        <v>2776</v>
      </c>
      <c r="E153" s="143">
        <f>SUM(E145:E152)</f>
        <v>10777</v>
      </c>
      <c r="F153" s="139">
        <f t="shared" si="4"/>
        <v>2230.73123</v>
      </c>
    </row>
    <row r="154" spans="1:6" ht="63.75" customHeight="1">
      <c r="A154" s="145"/>
      <c r="B154" s="363" t="s">
        <v>791</v>
      </c>
      <c r="C154" s="129"/>
      <c r="D154" s="130">
        <f>D153+D144+D133+D119</f>
        <v>3948</v>
      </c>
      <c r="E154" s="130">
        <f>E153+E144+E133+E119</f>
        <v>12589</v>
      </c>
      <c r="F154" s="131">
        <f t="shared" si="4"/>
        <v>2605.7971100000004</v>
      </c>
    </row>
    <row r="155" spans="1:6" ht="51" hidden="1">
      <c r="A155" s="1">
        <v>151</v>
      </c>
      <c r="B155" s="5" t="s">
        <v>101</v>
      </c>
      <c r="C155" s="8"/>
      <c r="D155" s="17"/>
      <c r="E155" s="17"/>
      <c r="F155" s="119">
        <f t="shared" si="4"/>
        <v>0</v>
      </c>
    </row>
    <row r="156" spans="1:6" ht="110.25" customHeight="1" hidden="1">
      <c r="A156" s="1">
        <v>152</v>
      </c>
      <c r="B156" s="7" t="s">
        <v>771</v>
      </c>
      <c r="C156" s="8" t="s">
        <v>769</v>
      </c>
      <c r="D156" s="4"/>
      <c r="E156" s="4"/>
      <c r="F156" s="119">
        <f t="shared" si="4"/>
        <v>0</v>
      </c>
    </row>
    <row r="157" spans="1:6" ht="105" customHeight="1" hidden="1">
      <c r="A157" s="1">
        <v>153</v>
      </c>
      <c r="B157" s="8" t="s">
        <v>772</v>
      </c>
      <c r="C157" s="8" t="s">
        <v>769</v>
      </c>
      <c r="D157" s="4"/>
      <c r="E157" s="4"/>
      <c r="F157" s="119">
        <f t="shared" si="4"/>
        <v>0</v>
      </c>
    </row>
    <row r="158" spans="1:6" ht="48.75" customHeight="1" hidden="1">
      <c r="A158" s="2">
        <v>154</v>
      </c>
      <c r="B158" s="13" t="s">
        <v>770</v>
      </c>
      <c r="C158" s="120">
        <v>1</v>
      </c>
      <c r="D158" s="14">
        <v>0</v>
      </c>
      <c r="E158" s="14">
        <v>0</v>
      </c>
      <c r="F158" s="119">
        <f t="shared" si="4"/>
        <v>0</v>
      </c>
    </row>
    <row r="159" spans="1:6" ht="26.25">
      <c r="A159" s="1"/>
      <c r="B159" s="5" t="s">
        <v>792</v>
      </c>
      <c r="C159" s="8"/>
      <c r="D159" s="4"/>
      <c r="E159" s="4"/>
      <c r="F159" s="119"/>
    </row>
    <row r="160" spans="1:6" ht="26.25">
      <c r="A160" s="1">
        <v>1</v>
      </c>
      <c r="B160" s="5" t="s">
        <v>793</v>
      </c>
      <c r="C160" s="8" t="s">
        <v>734</v>
      </c>
      <c r="D160" s="4">
        <v>527</v>
      </c>
      <c r="E160" s="4">
        <v>298</v>
      </c>
      <c r="F160" s="119">
        <f t="shared" si="4"/>
        <v>61.683020000000006</v>
      </c>
    </row>
    <row r="161" spans="1:6" ht="63.75" customHeight="1" hidden="1">
      <c r="A161" s="1">
        <v>157</v>
      </c>
      <c r="B161" s="5"/>
      <c r="C161" s="8" t="s">
        <v>734</v>
      </c>
      <c r="D161" s="4"/>
      <c r="E161" s="4"/>
      <c r="F161" s="119">
        <f t="shared" si="4"/>
        <v>0</v>
      </c>
    </row>
    <row r="162" spans="1:6" ht="57" customHeight="1" hidden="1">
      <c r="A162" s="1">
        <v>158</v>
      </c>
      <c r="B162" s="5"/>
      <c r="C162" s="8" t="s">
        <v>734</v>
      </c>
      <c r="D162" s="4"/>
      <c r="E162" s="4"/>
      <c r="F162" s="119">
        <f t="shared" si="4"/>
        <v>0</v>
      </c>
    </row>
    <row r="163" spans="1:6" ht="60.75" customHeight="1" hidden="1">
      <c r="A163" s="1">
        <v>159</v>
      </c>
      <c r="B163" s="5"/>
      <c r="C163" s="8" t="s">
        <v>734</v>
      </c>
      <c r="D163" s="4"/>
      <c r="E163" s="4"/>
      <c r="F163" s="119">
        <f t="shared" si="4"/>
        <v>0</v>
      </c>
    </row>
    <row r="164" spans="1:6" ht="68.25" customHeight="1" hidden="1">
      <c r="A164" s="1">
        <v>160</v>
      </c>
      <c r="B164" s="5"/>
      <c r="C164" s="8" t="s">
        <v>734</v>
      </c>
      <c r="D164" s="4"/>
      <c r="E164" s="4"/>
      <c r="F164" s="119">
        <f t="shared" si="4"/>
        <v>0</v>
      </c>
    </row>
    <row r="165" spans="1:6" ht="58.5" customHeight="1" hidden="1">
      <c r="A165" s="1">
        <v>161</v>
      </c>
      <c r="B165" s="5"/>
      <c r="C165" s="8" t="s">
        <v>734</v>
      </c>
      <c r="D165" s="4"/>
      <c r="E165" s="4"/>
      <c r="F165" s="119">
        <f t="shared" si="4"/>
        <v>0</v>
      </c>
    </row>
    <row r="166" spans="1:6" ht="58.5" customHeight="1" hidden="1">
      <c r="A166" s="1">
        <v>162</v>
      </c>
      <c r="B166" s="5"/>
      <c r="C166" s="8" t="s">
        <v>734</v>
      </c>
      <c r="D166" s="4"/>
      <c r="E166" s="4"/>
      <c r="F166" s="119">
        <f t="shared" si="4"/>
        <v>0</v>
      </c>
    </row>
    <row r="167" spans="1:6" ht="56.25" customHeight="1" hidden="1">
      <c r="A167" s="1">
        <v>163</v>
      </c>
      <c r="B167" s="5"/>
      <c r="C167" s="8" t="s">
        <v>698</v>
      </c>
      <c r="D167" s="4"/>
      <c r="E167" s="4"/>
      <c r="F167" s="119">
        <f t="shared" si="4"/>
        <v>0</v>
      </c>
    </row>
    <row r="168" spans="1:6" ht="57" customHeight="1" hidden="1">
      <c r="A168" s="1">
        <v>164</v>
      </c>
      <c r="B168" s="5"/>
      <c r="C168" s="8" t="s">
        <v>734</v>
      </c>
      <c r="D168" s="4"/>
      <c r="E168" s="4"/>
      <c r="F168" s="119">
        <f t="shared" si="4"/>
        <v>0</v>
      </c>
    </row>
    <row r="169" spans="1:6" ht="26.25">
      <c r="A169" s="1">
        <v>2</v>
      </c>
      <c r="B169" s="8"/>
      <c r="C169" s="8" t="s">
        <v>693</v>
      </c>
      <c r="D169" s="4">
        <v>1119</v>
      </c>
      <c r="E169" s="4">
        <v>2207</v>
      </c>
      <c r="F169" s="119">
        <f t="shared" si="4"/>
        <v>456.82693</v>
      </c>
    </row>
    <row r="170" spans="1:6" ht="42.75" customHeight="1" hidden="1">
      <c r="A170" s="1">
        <v>166</v>
      </c>
      <c r="B170" s="8"/>
      <c r="C170" s="8"/>
      <c r="D170" s="4"/>
      <c r="E170" s="4"/>
      <c r="F170" s="119">
        <f t="shared" si="4"/>
        <v>0</v>
      </c>
    </row>
    <row r="171" spans="1:6" ht="42.75" customHeight="1" hidden="1">
      <c r="A171" s="1">
        <v>167</v>
      </c>
      <c r="B171" s="8"/>
      <c r="C171" s="8"/>
      <c r="D171" s="4"/>
      <c r="E171" s="4"/>
      <c r="F171" s="119">
        <f t="shared" si="4"/>
        <v>0</v>
      </c>
    </row>
    <row r="172" spans="1:6" ht="42.75" customHeight="1" hidden="1">
      <c r="A172" s="1">
        <v>168</v>
      </c>
      <c r="B172" s="8"/>
      <c r="C172" s="8"/>
      <c r="D172" s="4"/>
      <c r="E172" s="4"/>
      <c r="F172" s="119">
        <f t="shared" si="4"/>
        <v>0</v>
      </c>
    </row>
    <row r="173" spans="1:6" ht="26.25">
      <c r="A173" s="1">
        <v>3</v>
      </c>
      <c r="B173" s="8"/>
      <c r="C173" s="8" t="s">
        <v>797</v>
      </c>
      <c r="D173" s="4">
        <v>650</v>
      </c>
      <c r="E173" s="4">
        <v>582</v>
      </c>
      <c r="F173" s="119">
        <f t="shared" si="4"/>
        <v>120.46818</v>
      </c>
    </row>
    <row r="174" spans="1:6" ht="50.25" customHeight="1">
      <c r="A174" s="134"/>
      <c r="B174" s="135" t="s">
        <v>799</v>
      </c>
      <c r="C174" s="136"/>
      <c r="D174" s="137">
        <f>SUM(D160:D173)</f>
        <v>2296</v>
      </c>
      <c r="E174" s="137">
        <f>E173+E169+E160</f>
        <v>3087</v>
      </c>
      <c r="F174" s="139">
        <f t="shared" si="4"/>
        <v>638.97813</v>
      </c>
    </row>
    <row r="175" spans="1:6" ht="74.25" customHeight="1" hidden="1">
      <c r="A175" s="1">
        <v>171</v>
      </c>
      <c r="B175" s="121" t="s">
        <v>457</v>
      </c>
      <c r="C175" s="12" t="s">
        <v>689</v>
      </c>
      <c r="D175" s="4"/>
      <c r="E175" s="4"/>
      <c r="F175" s="119">
        <f t="shared" si="4"/>
        <v>0</v>
      </c>
    </row>
    <row r="176" spans="1:6" ht="63.75" customHeight="1" hidden="1">
      <c r="A176" s="1">
        <v>172</v>
      </c>
      <c r="B176" s="8"/>
      <c r="C176" s="12" t="s">
        <v>689</v>
      </c>
      <c r="D176" s="4"/>
      <c r="E176" s="4"/>
      <c r="F176" s="119">
        <f t="shared" si="4"/>
        <v>0</v>
      </c>
    </row>
    <row r="177" spans="1:6" ht="105" customHeight="1" hidden="1">
      <c r="A177" s="1">
        <v>173</v>
      </c>
      <c r="B177" s="8"/>
      <c r="C177" s="12" t="s">
        <v>107</v>
      </c>
      <c r="D177" s="4"/>
      <c r="E177" s="4"/>
      <c r="F177" s="119">
        <f t="shared" si="4"/>
        <v>0</v>
      </c>
    </row>
    <row r="178" spans="1:6" ht="105" customHeight="1" hidden="1">
      <c r="A178" s="1">
        <v>174</v>
      </c>
      <c r="B178" s="8"/>
      <c r="C178" s="12" t="s">
        <v>108</v>
      </c>
      <c r="D178" s="4"/>
      <c r="E178" s="4"/>
      <c r="F178" s="119">
        <f t="shared" si="4"/>
        <v>0</v>
      </c>
    </row>
    <row r="179" spans="1:6" ht="77.25" customHeight="1" hidden="1">
      <c r="A179" s="1">
        <v>175</v>
      </c>
      <c r="B179" s="8"/>
      <c r="C179" s="12" t="s">
        <v>435</v>
      </c>
      <c r="D179" s="4"/>
      <c r="E179" s="4"/>
      <c r="F179" s="119">
        <f t="shared" si="4"/>
        <v>0</v>
      </c>
    </row>
    <row r="180" spans="1:6" ht="63.75" customHeight="1" hidden="1">
      <c r="A180" s="1">
        <v>176</v>
      </c>
      <c r="B180" s="8"/>
      <c r="C180" s="8" t="s">
        <v>689</v>
      </c>
      <c r="D180" s="4"/>
      <c r="E180" s="4"/>
      <c r="F180" s="119">
        <f t="shared" si="4"/>
        <v>0</v>
      </c>
    </row>
    <row r="181" spans="1:6" ht="97.5" customHeight="1" hidden="1">
      <c r="A181" s="1">
        <v>177</v>
      </c>
      <c r="B181" s="8"/>
      <c r="C181" s="8" t="s">
        <v>689</v>
      </c>
      <c r="D181" s="4"/>
      <c r="E181" s="4"/>
      <c r="F181" s="119">
        <f t="shared" si="4"/>
        <v>0</v>
      </c>
    </row>
    <row r="182" spans="1:6" ht="78.75" customHeight="1" hidden="1">
      <c r="A182" s="1">
        <v>178</v>
      </c>
      <c r="B182" s="8"/>
      <c r="C182" s="8" t="s">
        <v>689</v>
      </c>
      <c r="D182" s="4"/>
      <c r="E182" s="4"/>
      <c r="F182" s="119">
        <f t="shared" si="4"/>
        <v>0</v>
      </c>
    </row>
    <row r="183" spans="1:6" ht="52.5">
      <c r="A183" s="1">
        <v>1</v>
      </c>
      <c r="B183" s="8"/>
      <c r="C183" s="8" t="s">
        <v>128</v>
      </c>
      <c r="D183" s="4">
        <v>3493</v>
      </c>
      <c r="E183" s="9">
        <f>D183*1.15</f>
        <v>4016.95</v>
      </c>
      <c r="F183" s="119">
        <f t="shared" si="4"/>
        <v>831.4684804999999</v>
      </c>
    </row>
    <row r="184" spans="1:6" ht="97.5" customHeight="1" hidden="1">
      <c r="A184" s="1">
        <v>180</v>
      </c>
      <c r="B184" s="8"/>
      <c r="C184" s="8" t="s">
        <v>734</v>
      </c>
      <c r="D184" s="4"/>
      <c r="E184" s="9">
        <f aca="true" t="shared" si="5" ref="E184:E189">D184*1.15</f>
        <v>0</v>
      </c>
      <c r="F184" s="119">
        <f t="shared" si="4"/>
        <v>0</v>
      </c>
    </row>
    <row r="185" spans="1:6" ht="64.5" customHeight="1" hidden="1">
      <c r="A185" s="1">
        <v>181</v>
      </c>
      <c r="B185" s="8"/>
      <c r="C185" s="8"/>
      <c r="D185" s="4"/>
      <c r="E185" s="9">
        <f t="shared" si="5"/>
        <v>0</v>
      </c>
      <c r="F185" s="119">
        <f t="shared" si="4"/>
        <v>0</v>
      </c>
    </row>
    <row r="186" spans="1:6" ht="64.5" customHeight="1" hidden="1">
      <c r="A186" s="1">
        <v>182</v>
      </c>
      <c r="B186" s="8"/>
      <c r="C186" s="8"/>
      <c r="D186" s="4"/>
      <c r="E186" s="9">
        <f t="shared" si="5"/>
        <v>0</v>
      </c>
      <c r="F186" s="119">
        <f t="shared" si="4"/>
        <v>0</v>
      </c>
    </row>
    <row r="187" spans="1:6" ht="51" customHeight="1" hidden="1">
      <c r="A187" s="1">
        <v>183</v>
      </c>
      <c r="B187" s="8"/>
      <c r="C187" s="8"/>
      <c r="D187" s="4"/>
      <c r="E187" s="9">
        <f t="shared" si="5"/>
        <v>0</v>
      </c>
      <c r="F187" s="119">
        <f t="shared" si="4"/>
        <v>0</v>
      </c>
    </row>
    <row r="188" spans="1:6" ht="54" customHeight="1" hidden="1">
      <c r="A188" s="1">
        <v>184</v>
      </c>
      <c r="B188" s="8"/>
      <c r="C188" s="8"/>
      <c r="D188" s="4"/>
      <c r="E188" s="9">
        <f t="shared" si="5"/>
        <v>0</v>
      </c>
      <c r="F188" s="119">
        <f t="shared" si="4"/>
        <v>0</v>
      </c>
    </row>
    <row r="189" spans="1:6" ht="64.5" customHeight="1" hidden="1">
      <c r="A189" s="1">
        <v>185</v>
      </c>
      <c r="B189" s="8"/>
      <c r="C189" s="8"/>
      <c r="D189" s="4"/>
      <c r="E189" s="9">
        <f t="shared" si="5"/>
        <v>0</v>
      </c>
      <c r="F189" s="119">
        <f t="shared" si="4"/>
        <v>0</v>
      </c>
    </row>
    <row r="190" spans="1:6" ht="48" customHeight="1" hidden="1">
      <c r="A190" s="1">
        <v>186</v>
      </c>
      <c r="B190" s="8"/>
      <c r="C190" s="8"/>
      <c r="D190" s="4"/>
      <c r="E190" s="18"/>
      <c r="F190" s="119">
        <f t="shared" si="4"/>
        <v>0</v>
      </c>
    </row>
    <row r="191" spans="1:6" ht="46.5" customHeight="1" hidden="1">
      <c r="A191" s="1">
        <v>187</v>
      </c>
      <c r="B191" s="8"/>
      <c r="C191" s="8"/>
      <c r="D191" s="4"/>
      <c r="E191" s="18"/>
      <c r="F191" s="119">
        <f t="shared" si="4"/>
        <v>0</v>
      </c>
    </row>
    <row r="192" spans="1:6" ht="51" customHeight="1" hidden="1">
      <c r="A192" s="1">
        <v>188</v>
      </c>
      <c r="B192" s="8"/>
      <c r="C192" s="8"/>
      <c r="D192" s="4"/>
      <c r="E192" s="18"/>
      <c r="F192" s="119">
        <f t="shared" si="4"/>
        <v>0</v>
      </c>
    </row>
    <row r="193" spans="1:6" ht="64.5" customHeight="1" hidden="1">
      <c r="A193" s="1">
        <v>189</v>
      </c>
      <c r="B193" s="8"/>
      <c r="C193" s="8"/>
      <c r="D193" s="4"/>
      <c r="E193" s="18"/>
      <c r="F193" s="119">
        <f t="shared" si="4"/>
        <v>0</v>
      </c>
    </row>
    <row r="194" spans="1:6" ht="64.5" customHeight="1" hidden="1">
      <c r="A194" s="1">
        <v>190</v>
      </c>
      <c r="B194" s="8"/>
      <c r="C194" s="8"/>
      <c r="D194" s="4"/>
      <c r="E194" s="18"/>
      <c r="F194" s="119">
        <f t="shared" si="4"/>
        <v>0</v>
      </c>
    </row>
    <row r="195" spans="1:6" ht="64.5" customHeight="1" hidden="1">
      <c r="A195" s="1">
        <v>191</v>
      </c>
      <c r="B195" s="8"/>
      <c r="C195" s="8"/>
      <c r="D195" s="4"/>
      <c r="E195" s="18"/>
      <c r="F195" s="119">
        <f t="shared" si="4"/>
        <v>0</v>
      </c>
    </row>
    <row r="196" spans="1:6" ht="64.5" customHeight="1" hidden="1">
      <c r="A196" s="1">
        <v>192</v>
      </c>
      <c r="B196" s="8"/>
      <c r="C196" s="8"/>
      <c r="D196" s="4"/>
      <c r="E196" s="18"/>
      <c r="F196" s="119">
        <f t="shared" si="4"/>
        <v>0</v>
      </c>
    </row>
    <row r="197" spans="1:6" ht="64.5" customHeight="1" hidden="1">
      <c r="A197" s="1">
        <v>193</v>
      </c>
      <c r="B197" s="8"/>
      <c r="C197" s="8"/>
      <c r="D197" s="4"/>
      <c r="E197" s="18"/>
      <c r="F197" s="119">
        <f t="shared" si="4"/>
        <v>0</v>
      </c>
    </row>
    <row r="198" spans="1:6" ht="64.5" customHeight="1" hidden="1">
      <c r="A198" s="1">
        <v>194</v>
      </c>
      <c r="B198" s="8"/>
      <c r="C198" s="8"/>
      <c r="D198" s="4"/>
      <c r="E198" s="18"/>
      <c r="F198" s="119">
        <f t="shared" si="4"/>
        <v>0</v>
      </c>
    </row>
    <row r="199" spans="1:6" ht="64.5" customHeight="1" hidden="1">
      <c r="A199" s="1">
        <v>195</v>
      </c>
      <c r="B199" s="8"/>
      <c r="C199" s="8"/>
      <c r="D199" s="4"/>
      <c r="E199" s="18"/>
      <c r="F199" s="119">
        <f aca="true" t="shared" si="6" ref="F199:F262">E199*$C$278/1000</f>
        <v>0</v>
      </c>
    </row>
    <row r="200" spans="1:6" ht="64.5" customHeight="1" hidden="1">
      <c r="A200" s="1">
        <v>196</v>
      </c>
      <c r="B200" s="8"/>
      <c r="C200" s="8"/>
      <c r="D200" s="4"/>
      <c r="E200" s="18"/>
      <c r="F200" s="119">
        <f t="shared" si="6"/>
        <v>0</v>
      </c>
    </row>
    <row r="201" spans="1:6" ht="54" customHeight="1" hidden="1">
      <c r="A201" s="1">
        <v>197</v>
      </c>
      <c r="B201" s="8"/>
      <c r="C201" s="8"/>
      <c r="D201" s="4"/>
      <c r="E201" s="18"/>
      <c r="F201" s="119">
        <f t="shared" si="6"/>
        <v>0</v>
      </c>
    </row>
    <row r="202" spans="1:6" ht="52.5">
      <c r="A202" s="1">
        <v>2</v>
      </c>
      <c r="B202" s="8"/>
      <c r="C202" s="8" t="s">
        <v>40</v>
      </c>
      <c r="D202" s="4">
        <v>1609</v>
      </c>
      <c r="E202" s="15">
        <v>1264</v>
      </c>
      <c r="F202" s="119">
        <f t="shared" si="6"/>
        <v>261.63536</v>
      </c>
    </row>
    <row r="203" spans="1:6" ht="48" customHeight="1" hidden="1">
      <c r="A203" s="1">
        <v>199</v>
      </c>
      <c r="B203" s="8"/>
      <c r="C203" s="8" t="s">
        <v>838</v>
      </c>
      <c r="D203" s="4"/>
      <c r="E203" s="15"/>
      <c r="F203" s="119">
        <f t="shared" si="6"/>
        <v>0</v>
      </c>
    </row>
    <row r="204" spans="1:6" ht="48" customHeight="1" hidden="1">
      <c r="A204" s="1">
        <v>200</v>
      </c>
      <c r="B204" s="8"/>
      <c r="C204" s="8"/>
      <c r="D204" s="4"/>
      <c r="E204" s="15"/>
      <c r="F204" s="119">
        <f t="shared" si="6"/>
        <v>0</v>
      </c>
    </row>
    <row r="205" spans="1:6" ht="48" customHeight="1" hidden="1">
      <c r="A205" s="1">
        <v>201</v>
      </c>
      <c r="B205" s="8"/>
      <c r="C205" s="8"/>
      <c r="D205" s="4"/>
      <c r="E205" s="15"/>
      <c r="F205" s="119">
        <f t="shared" si="6"/>
        <v>0</v>
      </c>
    </row>
    <row r="206" spans="1:6" ht="48" customHeight="1" hidden="1">
      <c r="A206" s="1">
        <v>202</v>
      </c>
      <c r="B206" s="8"/>
      <c r="C206" s="8"/>
      <c r="D206" s="4"/>
      <c r="E206" s="15"/>
      <c r="F206" s="119">
        <f t="shared" si="6"/>
        <v>0</v>
      </c>
    </row>
    <row r="207" spans="1:6" ht="48" customHeight="1" hidden="1">
      <c r="A207" s="1">
        <v>203</v>
      </c>
      <c r="B207" s="8"/>
      <c r="C207" s="8"/>
      <c r="D207" s="4"/>
      <c r="E207" s="15"/>
      <c r="F207" s="119">
        <f t="shared" si="6"/>
        <v>0</v>
      </c>
    </row>
    <row r="208" spans="1:6" ht="48" customHeight="1" hidden="1">
      <c r="A208" s="1">
        <v>204</v>
      </c>
      <c r="B208" s="8"/>
      <c r="C208" s="8"/>
      <c r="D208" s="4"/>
      <c r="E208" s="15"/>
      <c r="F208" s="119">
        <f t="shared" si="6"/>
        <v>0</v>
      </c>
    </row>
    <row r="209" spans="1:6" ht="48" customHeight="1" hidden="1">
      <c r="A209" s="1">
        <v>205</v>
      </c>
      <c r="B209" s="8"/>
      <c r="C209" s="8"/>
      <c r="D209" s="4"/>
      <c r="E209" s="15"/>
      <c r="F209" s="119">
        <f t="shared" si="6"/>
        <v>0</v>
      </c>
    </row>
    <row r="210" spans="1:6" ht="48" customHeight="1" hidden="1">
      <c r="A210" s="1">
        <v>206</v>
      </c>
      <c r="B210" s="8"/>
      <c r="C210" s="8"/>
      <c r="D210" s="4"/>
      <c r="E210" s="15"/>
      <c r="F210" s="119">
        <f t="shared" si="6"/>
        <v>0</v>
      </c>
    </row>
    <row r="211" spans="1:6" ht="48" customHeight="1" hidden="1">
      <c r="A211" s="1">
        <v>207</v>
      </c>
      <c r="B211" s="8"/>
      <c r="C211" s="8"/>
      <c r="D211" s="4"/>
      <c r="E211" s="15"/>
      <c r="F211" s="119">
        <f t="shared" si="6"/>
        <v>0</v>
      </c>
    </row>
    <row r="212" spans="1:6" ht="48" customHeight="1" hidden="1">
      <c r="A212" s="1">
        <v>208</v>
      </c>
      <c r="B212" s="8"/>
      <c r="C212" s="8"/>
      <c r="D212" s="4"/>
      <c r="E212" s="15"/>
      <c r="F212" s="119">
        <f t="shared" si="6"/>
        <v>0</v>
      </c>
    </row>
    <row r="213" spans="1:6" ht="48" customHeight="1" hidden="1">
      <c r="A213" s="1">
        <v>209</v>
      </c>
      <c r="B213" s="8"/>
      <c r="C213" s="8"/>
      <c r="D213" s="4"/>
      <c r="E213" s="15"/>
      <c r="F213" s="119">
        <f t="shared" si="6"/>
        <v>0</v>
      </c>
    </row>
    <row r="214" spans="1:6" ht="48" customHeight="1" hidden="1">
      <c r="A214" s="1">
        <v>210</v>
      </c>
      <c r="B214" s="8"/>
      <c r="C214" s="8"/>
      <c r="D214" s="4"/>
      <c r="E214" s="15"/>
      <c r="F214" s="119">
        <f t="shared" si="6"/>
        <v>0</v>
      </c>
    </row>
    <row r="215" spans="1:6" ht="52.5">
      <c r="A215" s="1">
        <v>3</v>
      </c>
      <c r="B215" s="8"/>
      <c r="C215" s="8" t="s">
        <v>41</v>
      </c>
      <c r="D215" s="15">
        <v>5230</v>
      </c>
      <c r="E215" s="15">
        <v>5925</v>
      </c>
      <c r="F215" s="119">
        <f t="shared" si="6"/>
        <v>1226.41575</v>
      </c>
    </row>
    <row r="216" spans="1:6" ht="62.25" customHeight="1" hidden="1">
      <c r="A216" s="1">
        <v>212</v>
      </c>
      <c r="B216" s="8"/>
      <c r="C216" s="8"/>
      <c r="D216" s="18"/>
      <c r="E216" s="15"/>
      <c r="F216" s="119">
        <f t="shared" si="6"/>
        <v>0</v>
      </c>
    </row>
    <row r="217" spans="1:6" ht="62.25" customHeight="1" hidden="1">
      <c r="A217" s="1">
        <v>213</v>
      </c>
      <c r="B217" s="8"/>
      <c r="C217" s="8"/>
      <c r="D217" s="18"/>
      <c r="E217" s="15"/>
      <c r="F217" s="119">
        <f t="shared" si="6"/>
        <v>0</v>
      </c>
    </row>
    <row r="218" spans="1:6" ht="62.25" customHeight="1" hidden="1">
      <c r="A218" s="1">
        <v>214</v>
      </c>
      <c r="B218" s="8"/>
      <c r="C218" s="8"/>
      <c r="D218" s="18"/>
      <c r="E218" s="15"/>
      <c r="F218" s="119">
        <f t="shared" si="6"/>
        <v>0</v>
      </c>
    </row>
    <row r="219" spans="1:6" ht="62.25" customHeight="1" hidden="1">
      <c r="A219" s="1">
        <v>215</v>
      </c>
      <c r="B219" s="8"/>
      <c r="C219" s="8"/>
      <c r="D219" s="18"/>
      <c r="E219" s="15"/>
      <c r="F219" s="119">
        <f t="shared" si="6"/>
        <v>0</v>
      </c>
    </row>
    <row r="220" spans="1:6" ht="62.25" customHeight="1" hidden="1">
      <c r="A220" s="1">
        <v>216</v>
      </c>
      <c r="B220" s="8"/>
      <c r="C220" s="8"/>
      <c r="D220" s="18"/>
      <c r="E220" s="15"/>
      <c r="F220" s="119">
        <f t="shared" si="6"/>
        <v>0</v>
      </c>
    </row>
    <row r="221" spans="1:6" ht="62.25" customHeight="1" hidden="1">
      <c r="A221" s="1">
        <v>217</v>
      </c>
      <c r="B221" s="8"/>
      <c r="C221" s="8"/>
      <c r="D221" s="18"/>
      <c r="E221" s="15"/>
      <c r="F221" s="119">
        <f t="shared" si="6"/>
        <v>0</v>
      </c>
    </row>
    <row r="222" spans="1:6" ht="62.25" customHeight="1" hidden="1">
      <c r="A222" s="1">
        <v>218</v>
      </c>
      <c r="B222" s="8"/>
      <c r="C222" s="8"/>
      <c r="D222" s="18"/>
      <c r="E222" s="15"/>
      <c r="F222" s="119">
        <f t="shared" si="6"/>
        <v>0</v>
      </c>
    </row>
    <row r="223" spans="1:6" ht="62.25" customHeight="1" hidden="1">
      <c r="A223" s="1">
        <v>219</v>
      </c>
      <c r="B223" s="8"/>
      <c r="C223" s="8"/>
      <c r="D223" s="18"/>
      <c r="E223" s="15"/>
      <c r="F223" s="119">
        <f t="shared" si="6"/>
        <v>0</v>
      </c>
    </row>
    <row r="224" spans="1:6" ht="62.25" customHeight="1" hidden="1">
      <c r="A224" s="1">
        <v>220</v>
      </c>
      <c r="B224" s="8"/>
      <c r="C224" s="8"/>
      <c r="D224" s="18"/>
      <c r="E224" s="15"/>
      <c r="F224" s="119">
        <f t="shared" si="6"/>
        <v>0</v>
      </c>
    </row>
    <row r="225" spans="1:6" ht="62.25" customHeight="1" hidden="1">
      <c r="A225" s="1">
        <v>221</v>
      </c>
      <c r="B225" s="8"/>
      <c r="C225" s="8"/>
      <c r="D225" s="18"/>
      <c r="E225" s="15"/>
      <c r="F225" s="119">
        <f t="shared" si="6"/>
        <v>0</v>
      </c>
    </row>
    <row r="226" spans="1:6" ht="62.25" customHeight="1" hidden="1">
      <c r="A226" s="1">
        <v>222</v>
      </c>
      <c r="B226" s="8"/>
      <c r="C226" s="8"/>
      <c r="D226" s="18"/>
      <c r="E226" s="15"/>
      <c r="F226" s="119">
        <f t="shared" si="6"/>
        <v>0</v>
      </c>
    </row>
    <row r="227" spans="1:6" ht="62.25" customHeight="1" hidden="1">
      <c r="A227" s="1">
        <v>223</v>
      </c>
      <c r="B227" s="8"/>
      <c r="C227" s="8"/>
      <c r="D227" s="18"/>
      <c r="E227" s="15"/>
      <c r="F227" s="119">
        <f t="shared" si="6"/>
        <v>0</v>
      </c>
    </row>
    <row r="228" spans="1:6" ht="62.25" customHeight="1" hidden="1">
      <c r="A228" s="1">
        <v>224</v>
      </c>
      <c r="B228" s="8"/>
      <c r="C228" s="8"/>
      <c r="D228" s="18"/>
      <c r="E228" s="15"/>
      <c r="F228" s="119">
        <f t="shared" si="6"/>
        <v>0</v>
      </c>
    </row>
    <row r="229" spans="1:6" ht="62.25" customHeight="1" hidden="1">
      <c r="A229" s="1">
        <v>225</v>
      </c>
      <c r="B229" s="8"/>
      <c r="C229" s="8"/>
      <c r="D229" s="18"/>
      <c r="E229" s="15"/>
      <c r="F229" s="119">
        <f t="shared" si="6"/>
        <v>0</v>
      </c>
    </row>
    <row r="230" spans="1:6" ht="62.25" customHeight="1" hidden="1">
      <c r="A230" s="1">
        <v>226</v>
      </c>
      <c r="B230" s="8"/>
      <c r="C230" s="8"/>
      <c r="D230" s="18"/>
      <c r="E230" s="15"/>
      <c r="F230" s="119">
        <f t="shared" si="6"/>
        <v>0</v>
      </c>
    </row>
    <row r="231" spans="1:6" ht="62.25" customHeight="1" hidden="1">
      <c r="A231" s="1">
        <v>227</v>
      </c>
      <c r="B231" s="8"/>
      <c r="C231" s="8"/>
      <c r="D231" s="18"/>
      <c r="E231" s="15"/>
      <c r="F231" s="119">
        <f t="shared" si="6"/>
        <v>0</v>
      </c>
    </row>
    <row r="232" spans="1:6" ht="52.5">
      <c r="A232" s="1">
        <v>4</v>
      </c>
      <c r="B232" s="8"/>
      <c r="C232" s="8" t="s">
        <v>42</v>
      </c>
      <c r="D232" s="15">
        <v>64</v>
      </c>
      <c r="E232" s="4">
        <v>30</v>
      </c>
      <c r="F232" s="119">
        <f t="shared" si="6"/>
        <v>6.209700000000001</v>
      </c>
    </row>
    <row r="233" spans="1:6" ht="107.25" customHeight="1">
      <c r="A233" s="134"/>
      <c r="B233" s="135" t="s">
        <v>458</v>
      </c>
      <c r="C233" s="136"/>
      <c r="D233" s="143">
        <f>SUM(D175:D232)</f>
        <v>10396</v>
      </c>
      <c r="E233" s="137">
        <f>SUM(E175:E232)</f>
        <v>11235.95</v>
      </c>
      <c r="F233" s="139">
        <f t="shared" si="6"/>
        <v>2325.7292905</v>
      </c>
    </row>
    <row r="234" spans="1:6" ht="26.25">
      <c r="A234" s="1"/>
      <c r="B234" s="5" t="s">
        <v>423</v>
      </c>
      <c r="C234" s="8"/>
      <c r="D234" s="4"/>
      <c r="E234" s="4"/>
      <c r="F234" s="119"/>
    </row>
    <row r="235" spans="1:6" ht="52.5">
      <c r="A235" s="1">
        <v>1</v>
      </c>
      <c r="B235" s="8"/>
      <c r="C235" s="8" t="s">
        <v>426</v>
      </c>
      <c r="D235" s="4">
        <v>1513</v>
      </c>
      <c r="E235" s="4">
        <v>1423</v>
      </c>
      <c r="F235" s="119">
        <f t="shared" si="6"/>
        <v>294.54677000000004</v>
      </c>
    </row>
    <row r="236" spans="1:6" ht="180.75" customHeight="1" hidden="1">
      <c r="A236" s="1">
        <v>232</v>
      </c>
      <c r="B236" s="8"/>
      <c r="C236" s="8" t="s">
        <v>734</v>
      </c>
      <c r="D236" s="4"/>
      <c r="E236" s="4"/>
      <c r="F236" s="119">
        <f t="shared" si="6"/>
        <v>0</v>
      </c>
    </row>
    <row r="237" spans="1:6" ht="52.5">
      <c r="A237" s="1">
        <v>2</v>
      </c>
      <c r="B237" s="8"/>
      <c r="C237" s="8" t="s">
        <v>428</v>
      </c>
      <c r="D237" s="4">
        <v>1757</v>
      </c>
      <c r="E237" s="4">
        <v>1619</v>
      </c>
      <c r="F237" s="119">
        <f t="shared" si="6"/>
        <v>335.11681</v>
      </c>
    </row>
    <row r="238" spans="1:6" ht="52.5">
      <c r="A238" s="1">
        <v>3</v>
      </c>
      <c r="B238" s="8"/>
      <c r="C238" s="8" t="s">
        <v>429</v>
      </c>
      <c r="D238" s="4">
        <v>1541</v>
      </c>
      <c r="E238" s="4">
        <v>1594</v>
      </c>
      <c r="F238" s="119">
        <f t="shared" si="6"/>
        <v>329.94205999999997</v>
      </c>
    </row>
    <row r="239" spans="1:6" ht="52.5">
      <c r="A239" s="1">
        <v>4</v>
      </c>
      <c r="B239" s="8"/>
      <c r="C239" s="8" t="s">
        <v>430</v>
      </c>
      <c r="D239" s="4">
        <v>1071</v>
      </c>
      <c r="E239" s="4">
        <v>542</v>
      </c>
      <c r="F239" s="119">
        <f t="shared" si="6"/>
        <v>112.18858</v>
      </c>
    </row>
    <row r="240" spans="1:6" ht="182.25" customHeight="1" hidden="1">
      <c r="A240" s="1">
        <v>236</v>
      </c>
      <c r="B240" s="8"/>
      <c r="C240" s="8" t="s">
        <v>424</v>
      </c>
      <c r="D240" s="4"/>
      <c r="E240" s="4"/>
      <c r="F240" s="119">
        <f t="shared" si="6"/>
        <v>0</v>
      </c>
    </row>
    <row r="241" spans="1:6" ht="52.5">
      <c r="A241" s="1">
        <v>5</v>
      </c>
      <c r="B241" s="8"/>
      <c r="C241" s="8" t="s">
        <v>432</v>
      </c>
      <c r="D241" s="4">
        <v>159</v>
      </c>
      <c r="E241" s="4">
        <v>62</v>
      </c>
      <c r="F241" s="119">
        <f t="shared" si="6"/>
        <v>12.833380000000002</v>
      </c>
    </row>
    <row r="242" spans="1:6" ht="75" customHeight="1" hidden="1">
      <c r="A242" s="1">
        <v>238</v>
      </c>
      <c r="B242" s="8"/>
      <c r="C242" s="8" t="s">
        <v>696</v>
      </c>
      <c r="D242" s="4"/>
      <c r="E242" s="4"/>
      <c r="F242" s="119">
        <f t="shared" si="6"/>
        <v>0</v>
      </c>
    </row>
    <row r="243" spans="1:6" ht="26.25">
      <c r="A243" s="1">
        <v>6</v>
      </c>
      <c r="B243" s="8"/>
      <c r="C243" s="8" t="s">
        <v>748</v>
      </c>
      <c r="D243" s="15">
        <v>840</v>
      </c>
      <c r="E243" s="4">
        <v>371</v>
      </c>
      <c r="F243" s="119">
        <f t="shared" si="6"/>
        <v>76.79329000000001</v>
      </c>
    </row>
    <row r="244" spans="1:6" ht="176.25" customHeight="1" hidden="1">
      <c r="A244" s="1">
        <v>240</v>
      </c>
      <c r="B244" s="8"/>
      <c r="C244" s="8" t="s">
        <v>425</v>
      </c>
      <c r="D244" s="4"/>
      <c r="E244" s="4"/>
      <c r="F244" s="119">
        <f t="shared" si="6"/>
        <v>0</v>
      </c>
    </row>
    <row r="245" spans="1:6" ht="50.25" customHeight="1">
      <c r="A245" s="134"/>
      <c r="B245" s="135" t="s">
        <v>441</v>
      </c>
      <c r="C245" s="136"/>
      <c r="D245" s="137">
        <f>SUM(D235:D244)</f>
        <v>6881</v>
      </c>
      <c r="E245" s="137">
        <f>SUM(E235:E244)</f>
        <v>5611</v>
      </c>
      <c r="F245" s="146">
        <f t="shared" si="6"/>
        <v>1161.42089</v>
      </c>
    </row>
    <row r="246" spans="1:6" ht="26.25">
      <c r="A246" s="1"/>
      <c r="B246" s="5" t="s">
        <v>854</v>
      </c>
      <c r="C246" s="8"/>
      <c r="D246" s="19"/>
      <c r="E246" s="19"/>
      <c r="F246" s="119"/>
    </row>
    <row r="247" spans="1:6" ht="52.5">
      <c r="A247" s="1">
        <v>1</v>
      </c>
      <c r="B247" s="7"/>
      <c r="C247" s="8" t="s">
        <v>443</v>
      </c>
      <c r="D247" s="4">
        <v>676</v>
      </c>
      <c r="E247" s="4">
        <v>253</v>
      </c>
      <c r="F247" s="119">
        <f t="shared" si="6"/>
        <v>52.36847</v>
      </c>
    </row>
    <row r="248" spans="1:6" ht="45.75" customHeight="1" hidden="1">
      <c r="A248" s="1">
        <v>244</v>
      </c>
      <c r="B248" s="7"/>
      <c r="C248" s="8" t="s">
        <v>838</v>
      </c>
      <c r="D248" s="4"/>
      <c r="E248" s="4"/>
      <c r="F248" s="119">
        <f t="shared" si="6"/>
        <v>0</v>
      </c>
    </row>
    <row r="249" spans="1:6" ht="66" customHeight="1" hidden="1">
      <c r="A249" s="1">
        <v>245</v>
      </c>
      <c r="B249" s="7"/>
      <c r="C249" s="8" t="s">
        <v>838</v>
      </c>
      <c r="D249" s="4"/>
      <c r="E249" s="4"/>
      <c r="F249" s="119">
        <f t="shared" si="6"/>
        <v>0</v>
      </c>
    </row>
    <row r="250" spans="1:6" ht="64.5" customHeight="1" hidden="1">
      <c r="A250" s="1">
        <v>246</v>
      </c>
      <c r="B250" s="7"/>
      <c r="C250" s="8" t="s">
        <v>838</v>
      </c>
      <c r="D250" s="4"/>
      <c r="E250" s="4"/>
      <c r="F250" s="119">
        <f t="shared" si="6"/>
        <v>0</v>
      </c>
    </row>
    <row r="251" spans="1:6" ht="72.75" customHeight="1" hidden="1">
      <c r="A251" s="1">
        <v>247</v>
      </c>
      <c r="B251" s="7"/>
      <c r="C251" s="8" t="s">
        <v>838</v>
      </c>
      <c r="D251" s="4"/>
      <c r="E251" s="4"/>
      <c r="F251" s="119">
        <f t="shared" si="6"/>
        <v>0</v>
      </c>
    </row>
    <row r="252" spans="1:6" ht="52.5">
      <c r="A252" s="1">
        <v>2</v>
      </c>
      <c r="B252" s="8"/>
      <c r="C252" s="8" t="s">
        <v>448</v>
      </c>
      <c r="D252" s="4">
        <v>1381</v>
      </c>
      <c r="E252" s="4">
        <v>859</v>
      </c>
      <c r="F252" s="119">
        <f t="shared" si="6"/>
        <v>177.80441</v>
      </c>
    </row>
    <row r="253" spans="1:6" ht="52.5">
      <c r="A253" s="1">
        <v>3</v>
      </c>
      <c r="B253" s="8"/>
      <c r="C253" s="8" t="s">
        <v>319</v>
      </c>
      <c r="D253" s="4">
        <v>1126</v>
      </c>
      <c r="E253" s="4">
        <v>791</v>
      </c>
      <c r="F253" s="119">
        <f t="shared" si="6"/>
        <v>163.72908999999999</v>
      </c>
    </row>
    <row r="254" spans="1:6" ht="26.25" hidden="1">
      <c r="A254" s="1">
        <v>250</v>
      </c>
      <c r="B254" s="8"/>
      <c r="C254" s="8" t="s">
        <v>449</v>
      </c>
      <c r="D254" s="4"/>
      <c r="E254" s="4"/>
      <c r="F254" s="119">
        <f t="shared" si="6"/>
        <v>0</v>
      </c>
    </row>
    <row r="255" spans="1:6" ht="42.75" customHeight="1" hidden="1">
      <c r="A255" s="1">
        <v>251</v>
      </c>
      <c r="B255" s="8"/>
      <c r="C255" s="8" t="s">
        <v>449</v>
      </c>
      <c r="D255" s="4"/>
      <c r="E255" s="4"/>
      <c r="F255" s="119">
        <f t="shared" si="6"/>
        <v>0</v>
      </c>
    </row>
    <row r="256" spans="1:6" ht="52.5">
      <c r="A256" s="1">
        <v>4</v>
      </c>
      <c r="B256" s="8"/>
      <c r="C256" s="8" t="s">
        <v>452</v>
      </c>
      <c r="D256" s="4">
        <v>532</v>
      </c>
      <c r="E256" s="4">
        <v>453</v>
      </c>
      <c r="F256" s="119">
        <f t="shared" si="6"/>
        <v>93.76647</v>
      </c>
    </row>
    <row r="257" spans="1:6" ht="63.75" customHeight="1" hidden="1">
      <c r="A257" s="1">
        <v>253</v>
      </c>
      <c r="B257" s="8"/>
      <c r="C257" s="8" t="s">
        <v>450</v>
      </c>
      <c r="D257" s="4"/>
      <c r="E257" s="4"/>
      <c r="F257" s="119">
        <f t="shared" si="6"/>
        <v>0</v>
      </c>
    </row>
    <row r="258" spans="1:6" ht="63.75" customHeight="1" hidden="1">
      <c r="A258" s="1">
        <v>254</v>
      </c>
      <c r="B258" s="8"/>
      <c r="C258" s="8" t="s">
        <v>450</v>
      </c>
      <c r="D258" s="4"/>
      <c r="E258" s="4"/>
      <c r="F258" s="119">
        <f t="shared" si="6"/>
        <v>0</v>
      </c>
    </row>
    <row r="259" spans="1:6" ht="63.75" customHeight="1" hidden="1">
      <c r="A259" s="1">
        <v>255</v>
      </c>
      <c r="B259" s="8"/>
      <c r="C259" s="8" t="s">
        <v>450</v>
      </c>
      <c r="D259" s="4"/>
      <c r="E259" s="4"/>
      <c r="F259" s="119">
        <f t="shared" si="6"/>
        <v>0</v>
      </c>
    </row>
    <row r="260" spans="1:6" ht="63.75" customHeight="1" hidden="1">
      <c r="A260" s="1">
        <v>256</v>
      </c>
      <c r="B260" s="8"/>
      <c r="C260" s="8" t="s">
        <v>450</v>
      </c>
      <c r="D260" s="4"/>
      <c r="E260" s="4"/>
      <c r="F260" s="119">
        <f t="shared" si="6"/>
        <v>0</v>
      </c>
    </row>
    <row r="261" spans="1:6" ht="63.75" customHeight="1" hidden="1">
      <c r="A261" s="1">
        <v>257</v>
      </c>
      <c r="B261" s="8"/>
      <c r="C261" s="8" t="s">
        <v>450</v>
      </c>
      <c r="D261" s="4"/>
      <c r="E261" s="4"/>
      <c r="F261" s="119">
        <f t="shared" si="6"/>
        <v>0</v>
      </c>
    </row>
    <row r="262" spans="1:6" ht="26.25" hidden="1">
      <c r="A262" s="1">
        <v>258</v>
      </c>
      <c r="B262" s="8"/>
      <c r="C262" s="8" t="s">
        <v>450</v>
      </c>
      <c r="D262" s="4"/>
      <c r="E262" s="4"/>
      <c r="F262" s="119">
        <f t="shared" si="6"/>
        <v>0</v>
      </c>
    </row>
    <row r="263" spans="1:6" ht="52.5">
      <c r="A263" s="1">
        <v>5</v>
      </c>
      <c r="B263" s="8"/>
      <c r="C263" s="8" t="s">
        <v>455</v>
      </c>
      <c r="D263" s="4">
        <v>1381</v>
      </c>
      <c r="E263" s="4">
        <v>166</v>
      </c>
      <c r="F263" s="119">
        <f aca="true" t="shared" si="7" ref="F263:F274">E263*$C$278/1000</f>
        <v>34.36034</v>
      </c>
    </row>
    <row r="264" spans="1:6" ht="26.25">
      <c r="A264" s="1">
        <v>6</v>
      </c>
      <c r="B264" s="5" t="s">
        <v>453</v>
      </c>
      <c r="C264" s="8" t="s">
        <v>734</v>
      </c>
      <c r="D264" s="4">
        <v>472</v>
      </c>
      <c r="E264" s="4">
        <v>384</v>
      </c>
      <c r="F264" s="119">
        <f t="shared" si="7"/>
        <v>79.48416</v>
      </c>
    </row>
    <row r="265" spans="1:6" ht="67.5" customHeight="1" hidden="1">
      <c r="A265" s="1">
        <v>261</v>
      </c>
      <c r="B265" s="8"/>
      <c r="C265" s="8"/>
      <c r="D265" s="4"/>
      <c r="E265" s="4"/>
      <c r="F265" s="119">
        <f t="shared" si="7"/>
        <v>0</v>
      </c>
    </row>
    <row r="266" spans="1:6" ht="55.5" customHeight="1" hidden="1">
      <c r="A266" s="1">
        <v>262</v>
      </c>
      <c r="B266" s="8"/>
      <c r="C266" s="8"/>
      <c r="D266" s="4"/>
      <c r="E266" s="4"/>
      <c r="F266" s="119">
        <f t="shared" si="7"/>
        <v>0</v>
      </c>
    </row>
    <row r="267" spans="1:6" ht="34.5" customHeight="1" hidden="1">
      <c r="A267" s="1">
        <v>263</v>
      </c>
      <c r="B267" s="8"/>
      <c r="C267" s="8"/>
      <c r="D267" s="4"/>
      <c r="E267" s="4"/>
      <c r="F267" s="119">
        <f t="shared" si="7"/>
        <v>0</v>
      </c>
    </row>
    <row r="268" spans="1:6" ht="40.5" customHeight="1" hidden="1">
      <c r="A268" s="1">
        <v>264</v>
      </c>
      <c r="B268" s="8"/>
      <c r="C268" s="8"/>
      <c r="D268" s="4"/>
      <c r="E268" s="4"/>
      <c r="F268" s="119">
        <f t="shared" si="7"/>
        <v>0</v>
      </c>
    </row>
    <row r="269" spans="1:6" ht="40.5" customHeight="1" hidden="1">
      <c r="A269" s="1">
        <v>265</v>
      </c>
      <c r="B269" s="8"/>
      <c r="C269" s="8"/>
      <c r="D269" s="4"/>
      <c r="E269" s="4"/>
      <c r="F269" s="119">
        <f t="shared" si="7"/>
        <v>0</v>
      </c>
    </row>
    <row r="270" spans="1:6" ht="40.5" customHeight="1" hidden="1">
      <c r="A270" s="1">
        <v>266</v>
      </c>
      <c r="B270" s="8"/>
      <c r="C270" s="8"/>
      <c r="D270" s="4"/>
      <c r="E270" s="4"/>
      <c r="F270" s="119">
        <f t="shared" si="7"/>
        <v>0</v>
      </c>
    </row>
    <row r="271" spans="1:6" ht="50.25" customHeight="1">
      <c r="A271" s="3"/>
      <c r="B271" s="703" t="s">
        <v>456</v>
      </c>
      <c r="C271" s="703"/>
      <c r="D271" s="137">
        <f>SUM(D247:D270)</f>
        <v>5568</v>
      </c>
      <c r="E271" s="137">
        <f>SUM(E247:E270)</f>
        <v>2906</v>
      </c>
      <c r="F271" s="146">
        <f t="shared" si="7"/>
        <v>601.5129400000001</v>
      </c>
    </row>
    <row r="272" spans="1:6" ht="51" customHeight="1">
      <c r="A272" s="127"/>
      <c r="B272" s="704" t="s">
        <v>102</v>
      </c>
      <c r="C272" s="704"/>
      <c r="D272" s="130">
        <f>D271+D245+D233+D174</f>
        <v>25141</v>
      </c>
      <c r="E272" s="130">
        <f>E271+E245+E233+E174</f>
        <v>22839.95</v>
      </c>
      <c r="F272" s="131">
        <f t="shared" si="7"/>
        <v>4727.6412505</v>
      </c>
    </row>
    <row r="273" spans="1:6" ht="77.25" customHeight="1" hidden="1">
      <c r="A273" s="1">
        <v>269</v>
      </c>
      <c r="B273" s="5"/>
      <c r="C273" s="8"/>
      <c r="D273" s="4"/>
      <c r="E273" s="4"/>
      <c r="F273" s="119">
        <f t="shared" si="7"/>
        <v>0</v>
      </c>
    </row>
    <row r="274" spans="1:6" ht="51" customHeight="1" thickBot="1">
      <c r="A274" s="147"/>
      <c r="B274" s="727" t="s">
        <v>99</v>
      </c>
      <c r="C274" s="727"/>
      <c r="D274" s="364">
        <f>D272+D158+D154+D111+D98+D70+D66+D52+D30+D23+D14</f>
        <v>44846</v>
      </c>
      <c r="E274" s="364">
        <f>E272+E158+E154+E111+E98+E70+E66+E52+E30+E23+E14</f>
        <v>51584.95</v>
      </c>
      <c r="F274" s="365">
        <f t="shared" si="7"/>
        <v>10677.5688005</v>
      </c>
    </row>
    <row r="275" spans="1:5" ht="78.75" customHeight="1" hidden="1">
      <c r="A275" s="108"/>
      <c r="B275" s="125"/>
      <c r="C275" s="125"/>
      <c r="D275" s="126"/>
      <c r="E275" s="126"/>
    </row>
    <row r="276" spans="2:5" ht="26.25">
      <c r="B276" s="114"/>
      <c r="C276" s="114"/>
      <c r="D276" s="115"/>
      <c r="E276" s="115"/>
    </row>
    <row r="277" spans="2:3" ht="26.25">
      <c r="B277" s="712" t="s">
        <v>536</v>
      </c>
      <c r="C277" s="712"/>
    </row>
    <row r="278" spans="1:3" ht="159.75" customHeight="1">
      <c r="A278" s="711" t="s">
        <v>537</v>
      </c>
      <c r="B278" s="711"/>
      <c r="C278" s="209">
        <v>206.99</v>
      </c>
    </row>
    <row r="279" spans="2:5" ht="26.25">
      <c r="B279" s="114"/>
      <c r="C279" s="114"/>
      <c r="D279" s="115"/>
      <c r="E279" s="115"/>
    </row>
    <row r="280" spans="2:5" ht="26.25">
      <c r="B280" s="114"/>
      <c r="C280" s="114"/>
      <c r="D280" s="115"/>
      <c r="E280" s="115"/>
    </row>
    <row r="281" spans="2:4" ht="26.25">
      <c r="B281" s="114"/>
      <c r="C281" s="114"/>
      <c r="D281" s="115"/>
    </row>
    <row r="282" spans="2:5" ht="26.25">
      <c r="B282" s="114"/>
      <c r="C282" s="114"/>
      <c r="D282" s="115"/>
      <c r="E282" s="115"/>
    </row>
    <row r="283" spans="2:5" ht="26.25">
      <c r="B283" s="114"/>
      <c r="C283" s="114"/>
      <c r="D283" s="115"/>
      <c r="E283" s="115"/>
    </row>
    <row r="284" spans="2:5" ht="26.25">
      <c r="B284" s="116"/>
      <c r="C284" s="116"/>
      <c r="D284" s="115"/>
      <c r="E284" s="115"/>
    </row>
    <row r="285" spans="2:5" ht="26.25">
      <c r="B285" s="116"/>
      <c r="C285" s="116"/>
      <c r="D285" s="115"/>
      <c r="E285" s="115"/>
    </row>
    <row r="286" spans="2:5" ht="26.25">
      <c r="B286" s="116"/>
      <c r="C286" s="116"/>
      <c r="D286" s="115"/>
      <c r="E286" s="115"/>
    </row>
    <row r="287" spans="2:5" ht="26.25">
      <c r="B287" s="116"/>
      <c r="C287" s="116"/>
      <c r="D287" s="115"/>
      <c r="E287" s="115"/>
    </row>
    <row r="288" spans="2:5" ht="26.25">
      <c r="B288" s="116"/>
      <c r="C288" s="116"/>
      <c r="D288" s="115"/>
      <c r="E288" s="115"/>
    </row>
    <row r="289" spans="2:5" ht="26.25">
      <c r="B289" s="116"/>
      <c r="C289" s="116"/>
      <c r="D289" s="115"/>
      <c r="E289" s="115"/>
    </row>
    <row r="290" spans="2:5" ht="26.25">
      <c r="B290" s="116"/>
      <c r="C290" s="116"/>
      <c r="D290" s="115"/>
      <c r="E290" s="115"/>
    </row>
    <row r="291" spans="2:5" ht="26.25">
      <c r="B291" s="116"/>
      <c r="C291" s="116"/>
      <c r="D291" s="115"/>
      <c r="E291" s="115"/>
    </row>
    <row r="292" spans="2:5" ht="26.25">
      <c r="B292" s="116"/>
      <c r="C292" s="116"/>
      <c r="D292" s="115"/>
      <c r="E292" s="115"/>
    </row>
    <row r="293" spans="2:5" ht="26.25">
      <c r="B293" s="116"/>
      <c r="C293" s="116"/>
      <c r="D293" s="115"/>
      <c r="E293" s="115"/>
    </row>
    <row r="294" spans="2:5" ht="26.25">
      <c r="B294" s="116"/>
      <c r="C294" s="116"/>
      <c r="D294" s="115"/>
      <c r="E294" s="115"/>
    </row>
    <row r="295" spans="2:5" ht="26.25">
      <c r="B295" s="116"/>
      <c r="C295" s="116"/>
      <c r="D295" s="115"/>
      <c r="E295" s="115"/>
    </row>
    <row r="296" spans="2:5" ht="26.25">
      <c r="B296" s="116"/>
      <c r="C296" s="116"/>
      <c r="D296" s="115"/>
      <c r="E296" s="115"/>
    </row>
  </sheetData>
  <mergeCells count="11">
    <mergeCell ref="A278:B278"/>
    <mergeCell ref="B277:C277"/>
    <mergeCell ref="A1:F1"/>
    <mergeCell ref="B274:C274"/>
    <mergeCell ref="B271:C271"/>
    <mergeCell ref="B272:C272"/>
    <mergeCell ref="E2:F2"/>
    <mergeCell ref="D2:D3"/>
    <mergeCell ref="A2:A3"/>
    <mergeCell ref="B2:B3"/>
    <mergeCell ref="C2:C3"/>
  </mergeCells>
  <printOptions/>
  <pageMargins left="0" right="0" top="0" bottom="0" header="0.5118110236220472" footer="0.5118110236220472"/>
  <pageSetup fitToHeight="5" fitToWidth="1"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G46"/>
  <sheetViews>
    <sheetView tabSelected="1" view="pageBreakPreview" zoomScale="60" zoomScaleNormal="50" workbookViewId="0" topLeftCell="A1">
      <selection activeCell="A2" sqref="A2:U2"/>
    </sheetView>
  </sheetViews>
  <sheetFormatPr defaultColWidth="9.00390625" defaultRowHeight="12.75"/>
  <cols>
    <col min="1" max="1" width="9.125" style="65" customWidth="1"/>
    <col min="2" max="2" width="55.75390625" style="31" customWidth="1"/>
    <col min="3" max="3" width="35.625" style="241" customWidth="1"/>
    <col min="4" max="4" width="27.125" style="31" customWidth="1"/>
    <col min="5" max="5" width="25.625" style="31" customWidth="1"/>
    <col min="6" max="6" width="31.875" style="31" customWidth="1"/>
    <col min="7" max="7" width="24.00390625" style="65" customWidth="1"/>
    <col min="8" max="8" width="19.625" style="31" customWidth="1"/>
    <col min="9" max="9" width="22.375" style="31" customWidth="1"/>
    <col min="10" max="10" width="18.875" style="31" customWidth="1"/>
    <col min="11" max="11" width="19.75390625" style="31" customWidth="1"/>
    <col min="12" max="12" width="20.75390625" style="31" customWidth="1"/>
    <col min="13" max="13" width="28.125" style="31" customWidth="1"/>
    <col min="14" max="14" width="27.00390625" style="31" customWidth="1"/>
    <col min="15" max="15" width="23.125" style="31" customWidth="1"/>
    <col min="16" max="16" width="17.125" style="31" customWidth="1"/>
    <col min="17" max="17" width="14.75390625" style="31" customWidth="1"/>
    <col min="18" max="18" width="20.00390625" style="31" customWidth="1"/>
    <col min="19" max="19" width="13.375" style="31" customWidth="1"/>
    <col min="20" max="20" width="17.75390625" style="31" customWidth="1"/>
    <col min="21" max="21" width="34.00390625" style="31" customWidth="1"/>
    <col min="22" max="22" width="19.00390625" style="31" customWidth="1"/>
    <col min="23" max="23" width="14.625" style="31" customWidth="1"/>
    <col min="24" max="24" width="19.00390625" style="31" customWidth="1"/>
    <col min="25" max="25" width="12.875" style="31" customWidth="1"/>
    <col min="26" max="26" width="38.00390625" style="31" customWidth="1"/>
    <col min="27" max="27" width="32.25390625" style="31" customWidth="1"/>
    <col min="28" max="28" width="27.75390625" style="31" customWidth="1"/>
    <col min="29" max="29" width="29.125" style="31" customWidth="1"/>
    <col min="30" max="16384" width="9.125" style="31" customWidth="1"/>
  </cols>
  <sheetData>
    <row r="2" spans="1:21" ht="45">
      <c r="A2" s="694" t="s">
        <v>438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R2" s="694"/>
      <c r="S2" s="694"/>
      <c r="T2" s="694"/>
      <c r="U2" s="694"/>
    </row>
    <row r="3" s="97" customFormat="1" ht="52.5" customHeight="1" thickBot="1"/>
    <row r="4" spans="1:29" ht="52.5" customHeight="1">
      <c r="A4" s="691" t="s">
        <v>143</v>
      </c>
      <c r="B4" s="701" t="s">
        <v>320</v>
      </c>
      <c r="C4" s="696" t="str">
        <f>'Исходные по сверхнормат ТРЭ'!C2</f>
        <v>Постачання електроенергії </v>
      </c>
      <c r="D4" s="701" t="s">
        <v>577</v>
      </c>
      <c r="E4" s="701"/>
      <c r="F4" s="701" t="s">
        <v>321</v>
      </c>
      <c r="G4" s="701" t="s">
        <v>322</v>
      </c>
      <c r="H4" s="701"/>
      <c r="I4" s="687" t="s">
        <v>323</v>
      </c>
      <c r="J4" s="687"/>
      <c r="K4" s="687"/>
      <c r="L4" s="688"/>
      <c r="M4" s="672" t="s">
        <v>462</v>
      </c>
      <c r="N4" s="701" t="s">
        <v>324</v>
      </c>
      <c r="O4" s="701"/>
      <c r="P4" s="701"/>
      <c r="Q4" s="701"/>
      <c r="R4" s="701"/>
      <c r="S4" s="701"/>
      <c r="T4" s="701" t="s">
        <v>325</v>
      </c>
      <c r="U4" s="701"/>
      <c r="V4" s="701"/>
      <c r="W4" s="701"/>
      <c r="X4" s="701"/>
      <c r="Y4" s="701"/>
      <c r="Z4" s="701" t="s">
        <v>326</v>
      </c>
      <c r="AA4" s="701" t="s">
        <v>327</v>
      </c>
      <c r="AB4" s="701" t="s">
        <v>328</v>
      </c>
      <c r="AC4" s="702" t="s">
        <v>329</v>
      </c>
    </row>
    <row r="5" spans="1:29" ht="72" customHeight="1">
      <c r="A5" s="692"/>
      <c r="B5" s="700"/>
      <c r="C5" s="686"/>
      <c r="D5" s="700"/>
      <c r="E5" s="700"/>
      <c r="F5" s="700"/>
      <c r="G5" s="700"/>
      <c r="H5" s="700"/>
      <c r="I5" s="698" t="s">
        <v>330</v>
      </c>
      <c r="J5" s="698"/>
      <c r="K5" s="698" t="s">
        <v>331</v>
      </c>
      <c r="L5" s="699"/>
      <c r="M5" s="673"/>
      <c r="N5" s="700"/>
      <c r="O5" s="700"/>
      <c r="P5" s="700"/>
      <c r="Q5" s="700"/>
      <c r="R5" s="700"/>
      <c r="S5" s="700"/>
      <c r="T5" s="700"/>
      <c r="U5" s="700"/>
      <c r="V5" s="700"/>
      <c r="W5" s="700"/>
      <c r="X5" s="700"/>
      <c r="Y5" s="700"/>
      <c r="Z5" s="700"/>
      <c r="AA5" s="700"/>
      <c r="AB5" s="700"/>
      <c r="AC5" s="690"/>
    </row>
    <row r="6" spans="1:29" ht="178.5" customHeight="1">
      <c r="A6" s="692"/>
      <c r="B6" s="700"/>
      <c r="C6" s="686"/>
      <c r="D6" s="700"/>
      <c r="E6" s="700"/>
      <c r="F6" s="700"/>
      <c r="G6" s="700"/>
      <c r="H6" s="700"/>
      <c r="I6" s="93" t="s">
        <v>251</v>
      </c>
      <c r="J6" s="93" t="s">
        <v>252</v>
      </c>
      <c r="K6" s="93" t="s">
        <v>251</v>
      </c>
      <c r="L6" s="245" t="s">
        <v>252</v>
      </c>
      <c r="M6" s="671" t="s">
        <v>332</v>
      </c>
      <c r="N6" s="700" t="s">
        <v>333</v>
      </c>
      <c r="O6" s="700"/>
      <c r="P6" s="700" t="s">
        <v>174</v>
      </c>
      <c r="Q6" s="700"/>
      <c r="R6" s="700"/>
      <c r="S6" s="700"/>
      <c r="T6" s="700" t="s">
        <v>334</v>
      </c>
      <c r="U6" s="700"/>
      <c r="V6" s="700" t="s">
        <v>335</v>
      </c>
      <c r="W6" s="700"/>
      <c r="X6" s="700"/>
      <c r="Y6" s="700"/>
      <c r="Z6" s="700"/>
      <c r="AA6" s="700"/>
      <c r="AB6" s="700"/>
      <c r="AC6" s="690"/>
    </row>
    <row r="7" spans="1:29" ht="54.75" customHeight="1" thickBot="1">
      <c r="A7" s="693"/>
      <c r="B7" s="695"/>
      <c r="C7" s="240" t="s">
        <v>539</v>
      </c>
      <c r="D7" s="94" t="s">
        <v>538</v>
      </c>
      <c r="E7" s="94" t="s">
        <v>516</v>
      </c>
      <c r="F7" s="94" t="s">
        <v>337</v>
      </c>
      <c r="G7" s="64" t="s">
        <v>338</v>
      </c>
      <c r="H7" s="94" t="s">
        <v>339</v>
      </c>
      <c r="I7" s="94" t="s">
        <v>340</v>
      </c>
      <c r="J7" s="94" t="s">
        <v>340</v>
      </c>
      <c r="K7" s="94" t="s">
        <v>340</v>
      </c>
      <c r="L7" s="95" t="s">
        <v>340</v>
      </c>
      <c r="M7" s="243" t="s">
        <v>341</v>
      </c>
      <c r="N7" s="94" t="s">
        <v>342</v>
      </c>
      <c r="O7" s="94" t="s">
        <v>343</v>
      </c>
      <c r="P7" s="94" t="s">
        <v>344</v>
      </c>
      <c r="Q7" s="94" t="s">
        <v>345</v>
      </c>
      <c r="R7" s="94" t="s">
        <v>344</v>
      </c>
      <c r="S7" s="94" t="s">
        <v>345</v>
      </c>
      <c r="T7" s="94" t="s">
        <v>346</v>
      </c>
      <c r="U7" s="94" t="s">
        <v>338</v>
      </c>
      <c r="V7" s="94" t="s">
        <v>344</v>
      </c>
      <c r="W7" s="94" t="s">
        <v>340</v>
      </c>
      <c r="X7" s="94" t="s">
        <v>344</v>
      </c>
      <c r="Y7" s="94" t="s">
        <v>340</v>
      </c>
      <c r="Z7" s="94" t="s">
        <v>347</v>
      </c>
      <c r="AA7" s="94" t="s">
        <v>347</v>
      </c>
      <c r="AB7" s="94" t="s">
        <v>347</v>
      </c>
      <c r="AC7" s="95" t="s">
        <v>348</v>
      </c>
    </row>
    <row r="8" spans="1:29" ht="93" customHeight="1">
      <c r="A8" s="98">
        <v>1</v>
      </c>
      <c r="B8" s="676" t="str">
        <f>'Исходные по сверхнормат ТРЭ'!B4</f>
        <v>м. Торез </v>
      </c>
      <c r="C8" s="151">
        <f>'Исходные по сверхнормат ТРЭ'!C4</f>
        <v>161333</v>
      </c>
      <c r="D8" s="99">
        <f>'Исходные по сверхнормат ТРЭ'!F4</f>
        <v>33597</v>
      </c>
      <c r="E8" s="99">
        <f>D8*$C$31/1000</f>
        <v>6154.29846</v>
      </c>
      <c r="F8" s="99">
        <f>'[1]ВЭС'!E27</f>
        <v>197</v>
      </c>
      <c r="G8" s="99">
        <f>'[1]ВЭС'!F27</f>
        <v>6080</v>
      </c>
      <c r="H8" s="99">
        <f>'[1]ВЭС'!G27</f>
        <v>229</v>
      </c>
      <c r="I8" s="32">
        <f>'[1]ВЭС'!H27</f>
        <v>814.8</v>
      </c>
      <c r="J8" s="32">
        <f>'[1]ВЭС'!I27</f>
        <v>51</v>
      </c>
      <c r="K8" s="32">
        <f>'[1]ВЭС'!J27</f>
        <v>112.4</v>
      </c>
      <c r="L8" s="100">
        <f>'[1]ВЭС'!K27</f>
        <v>62.6</v>
      </c>
      <c r="M8" s="244">
        <f>'[3]Лист2'!H6</f>
        <v>17.30537142857143</v>
      </c>
      <c r="N8" s="685">
        <v>0</v>
      </c>
      <c r="O8" s="685">
        <v>0</v>
      </c>
      <c r="P8" s="685">
        <v>0</v>
      </c>
      <c r="Q8" s="685">
        <v>0</v>
      </c>
      <c r="R8" s="685">
        <v>0</v>
      </c>
      <c r="S8" s="685">
        <v>0</v>
      </c>
      <c r="T8" s="32">
        <f>'[1]ВЭС'!S27</f>
        <v>6</v>
      </c>
      <c r="U8" s="32">
        <f>'[1]ВЭС'!T27</f>
        <v>4290</v>
      </c>
      <c r="V8" s="32">
        <f>'[1]ВЭС'!U27</f>
        <v>0</v>
      </c>
      <c r="W8" s="32">
        <f>'[1]ВЭС'!V27</f>
        <v>0</v>
      </c>
      <c r="X8" s="32">
        <f>'[1]ВЭС'!W27</f>
        <v>6</v>
      </c>
      <c r="Y8" s="32">
        <f>'[1]ВЭС'!X27</f>
        <v>15.6</v>
      </c>
      <c r="Z8" s="32">
        <v>0</v>
      </c>
      <c r="AA8" s="32">
        <f>'[1]ВЭС'!Z27</f>
        <v>2500</v>
      </c>
      <c r="AB8" s="32">
        <f>'[1]ВЭС'!AA27</f>
        <v>9</v>
      </c>
      <c r="AC8" s="100">
        <f aca="true" t="shared" si="0" ref="AC8:AC15">SUM(Z8:AB8)</f>
        <v>2509</v>
      </c>
    </row>
    <row r="9" spans="1:29" ht="93" customHeight="1">
      <c r="A9" s="33">
        <v>2</v>
      </c>
      <c r="B9" s="677" t="str">
        <f>'Исходные по сверхнормат ТРЭ'!B5</f>
        <v>м. Єнакієве </v>
      </c>
      <c r="C9" s="151">
        <f>'Исходные по сверхнормат ТРЭ'!C5</f>
        <v>60123.43</v>
      </c>
      <c r="D9" s="99">
        <f>'Исходные по сверхнормат ТРЭ'!F5</f>
        <v>10122.408</v>
      </c>
      <c r="E9" s="99">
        <f aca="true" t="shared" si="1" ref="E9:E27">D9*$C$31/1000</f>
        <v>1854.22269744</v>
      </c>
      <c r="F9" s="35"/>
      <c r="G9" s="35"/>
      <c r="H9" s="35"/>
      <c r="I9" s="34"/>
      <c r="J9" s="34"/>
      <c r="K9" s="34"/>
      <c r="L9" s="92"/>
      <c r="M9" s="244">
        <f>'[3]Лист2'!H7</f>
        <v>23.07942857142857</v>
      </c>
      <c r="N9" s="34"/>
      <c r="O9" s="34"/>
      <c r="P9" s="34"/>
      <c r="Q9" s="34"/>
      <c r="R9" s="34"/>
      <c r="S9" s="34"/>
      <c r="T9" s="34"/>
      <c r="U9" s="34">
        <v>0</v>
      </c>
      <c r="V9" s="34">
        <f>'[1]ВЭС'!U23</f>
        <v>35</v>
      </c>
      <c r="W9" s="34">
        <f>'[1]ВЭС'!V23</f>
        <v>4.6</v>
      </c>
      <c r="X9" s="34">
        <f>'[1]ВЭС'!W23</f>
        <v>6</v>
      </c>
      <c r="Y9" s="34">
        <f>'[1]ВЭС'!X23</f>
        <v>3</v>
      </c>
      <c r="Z9" s="34">
        <f>'[1]ВЭС'!Y23</f>
        <v>9000</v>
      </c>
      <c r="AA9" s="34">
        <f>'[1]ВЭС'!Z23</f>
        <v>18000</v>
      </c>
      <c r="AB9" s="34">
        <f>'[1]ВЭС'!AA23</f>
        <v>10</v>
      </c>
      <c r="AC9" s="92">
        <f t="shared" si="0"/>
        <v>27010</v>
      </c>
    </row>
    <row r="10" spans="1:29" ht="93" customHeight="1">
      <c r="A10" s="33">
        <v>3</v>
      </c>
      <c r="B10" s="677" t="str">
        <f>'Исходные по сверхнормат ТРЭ'!B6</f>
        <v>м. Сніжне </v>
      </c>
      <c r="C10" s="151">
        <f>'Исходные по сверхнормат ТРЭ'!C6</f>
        <v>123672</v>
      </c>
      <c r="D10" s="99">
        <f>'Исходные по сверхнормат ТРЭ'!F6</f>
        <v>33451</v>
      </c>
      <c r="E10" s="99">
        <f t="shared" si="1"/>
        <v>6127.554180000001</v>
      </c>
      <c r="F10" s="35">
        <f>'[1]ВЭС'!E26</f>
        <v>221</v>
      </c>
      <c r="G10" s="35">
        <f>'[1]ВЭС'!F26</f>
        <v>5340</v>
      </c>
      <c r="H10" s="35">
        <f>'[1]ВЭС'!G26</f>
        <v>231</v>
      </c>
      <c r="I10" s="34">
        <f>'[1]ВЭС'!H26</f>
        <v>893</v>
      </c>
      <c r="J10" s="34">
        <f>'[1]ВЭС'!I26</f>
        <v>65</v>
      </c>
      <c r="K10" s="34">
        <f>'[1]ВЭС'!J26</f>
        <v>143.7</v>
      </c>
      <c r="L10" s="92">
        <f>'[1]ВЭС'!K26</f>
        <v>76.6</v>
      </c>
      <c r="M10" s="244">
        <f>'[3]Лист2'!H8</f>
        <v>6.547200000000001</v>
      </c>
      <c r="N10" s="34">
        <f>'[1]ВЭС'!M26</f>
        <v>1610</v>
      </c>
      <c r="O10" s="34">
        <f>'[1]ВЭС'!N26</f>
        <v>6</v>
      </c>
      <c r="P10" s="34">
        <f>'[1]ВЭС'!O26</f>
        <v>0</v>
      </c>
      <c r="Q10" s="34">
        <f>'[1]ВЭС'!P26</f>
        <v>6.6</v>
      </c>
      <c r="R10" s="34">
        <f>'[1]ВЭС'!Q26</f>
        <v>6</v>
      </c>
      <c r="S10" s="34">
        <f>'[1]ВЭС'!R26</f>
        <v>6.6</v>
      </c>
      <c r="T10" s="34">
        <f>'[1]ВЭС'!S26</f>
        <v>2</v>
      </c>
      <c r="U10" s="34">
        <f>'[1]ВЭС'!T26</f>
        <v>1600</v>
      </c>
      <c r="V10" s="34">
        <f>'[1]ВЭС'!U26</f>
        <v>0</v>
      </c>
      <c r="W10" s="34">
        <f>'[1]ВЭС'!V26</f>
        <v>0</v>
      </c>
      <c r="X10" s="34">
        <f>'[1]ВЭС'!W26</f>
        <v>6</v>
      </c>
      <c r="Y10" s="34">
        <f>'[1]ВЭС'!X26</f>
        <v>1.6</v>
      </c>
      <c r="Z10" s="34">
        <f>'[1]ВЭС'!Y26</f>
        <v>800</v>
      </c>
      <c r="AA10" s="34">
        <f>'[1]ВЭС'!Z26</f>
        <v>800</v>
      </c>
      <c r="AB10" s="34">
        <f>'[1]ВЭС'!AA26</f>
        <v>9</v>
      </c>
      <c r="AC10" s="92">
        <f t="shared" si="0"/>
        <v>1609</v>
      </c>
    </row>
    <row r="11" spans="1:29" ht="93" customHeight="1">
      <c r="A11" s="33">
        <v>4</v>
      </c>
      <c r="B11" s="677" t="str">
        <f>'Исходные по сверхнормат ТРЭ'!B7</f>
        <v>м. Шахтарськ </v>
      </c>
      <c r="C11" s="151">
        <f>'Исходные по сверхнормат ТРЭ'!C7</f>
        <v>112317</v>
      </c>
      <c r="D11" s="99">
        <f>'Исходные по сверхнормат ТРЭ'!F7</f>
        <v>26152</v>
      </c>
      <c r="E11" s="99">
        <f t="shared" si="1"/>
        <v>4790.52336</v>
      </c>
      <c r="F11" s="35">
        <f>'[1]ВЭС'!E28</f>
        <v>165</v>
      </c>
      <c r="G11" s="35">
        <f>'[1]ВЭС'!F28</f>
        <v>6710</v>
      </c>
      <c r="H11" s="35">
        <f>'[1]ВЭС'!G28</f>
        <v>211</v>
      </c>
      <c r="I11" s="34">
        <f>'[1]ВЭС'!H28</f>
        <v>573.3</v>
      </c>
      <c r="J11" s="34">
        <f>'[1]ВЭС'!I28</f>
        <v>52.8</v>
      </c>
      <c r="K11" s="34">
        <f>'[1]ВЭС'!J28</f>
        <v>101.3</v>
      </c>
      <c r="L11" s="92">
        <f>'[1]ВЭС'!K28</f>
        <v>100.9</v>
      </c>
      <c r="M11" s="244">
        <f>'[3]Лист2'!H9</f>
        <v>16.08857142857143</v>
      </c>
      <c r="N11" s="34">
        <f>'[1]ВЭС'!M28</f>
        <v>5500</v>
      </c>
      <c r="O11" s="34">
        <f>'[1]ВЭС'!N28</f>
        <v>17</v>
      </c>
      <c r="P11" s="34">
        <f>'[1]ВЭС'!O28</f>
        <v>0</v>
      </c>
      <c r="Q11" s="34">
        <f>'[1]ВЭС'!P28</f>
        <v>0.7</v>
      </c>
      <c r="R11" s="34">
        <f>'[1]ВЭС'!Q28</f>
        <v>6</v>
      </c>
      <c r="S11" s="34">
        <f>'[1]ВЭС'!R28</f>
        <v>0.7</v>
      </c>
      <c r="T11" s="34">
        <f>'[1]ВЭС'!S28</f>
        <v>8</v>
      </c>
      <c r="U11" s="34">
        <f>'[1]ВЭС'!T28</f>
        <v>2500</v>
      </c>
      <c r="V11" s="34">
        <f>'[1]ВЭС'!U28</f>
        <v>0</v>
      </c>
      <c r="W11" s="34">
        <f>'[1]ВЭС'!V28</f>
        <v>0</v>
      </c>
      <c r="X11" s="34">
        <f>'[1]ВЭС'!W28</f>
        <v>6</v>
      </c>
      <c r="Y11" s="34">
        <f>'[1]ВЭС'!X28</f>
        <v>17.8</v>
      </c>
      <c r="Z11" s="34">
        <f>'[1]ВЭС'!Y28</f>
        <v>1200</v>
      </c>
      <c r="AA11" s="34">
        <f>'[1]ВЭС'!Z28</f>
        <v>4200</v>
      </c>
      <c r="AB11" s="34">
        <f>'[1]ВЭС'!AA28</f>
        <v>27</v>
      </c>
      <c r="AC11" s="92">
        <f t="shared" si="0"/>
        <v>5427</v>
      </c>
    </row>
    <row r="12" spans="1:29" ht="93" customHeight="1">
      <c r="A12" s="33">
        <v>5</v>
      </c>
      <c r="B12" s="677" t="str">
        <f>'Исходные по сверхнормат ТРЭ'!B8</f>
        <v>м. Новогродівка </v>
      </c>
      <c r="C12" s="151">
        <f>'Исходные по сверхнормат ТРЭ'!C8</f>
        <v>61380</v>
      </c>
      <c r="D12" s="99">
        <f>'Исходные по сверхнормат ТРЭ'!F8</f>
        <v>10231</v>
      </c>
      <c r="E12" s="99">
        <f t="shared" si="1"/>
        <v>1874.1145800000002</v>
      </c>
      <c r="F12" s="35">
        <f>'[1]ВЭС'!E22</f>
        <v>34</v>
      </c>
      <c r="G12" s="35">
        <f>'[1]ВЭС'!F22</f>
        <v>14290</v>
      </c>
      <c r="H12" s="35">
        <f>'[1]ВЭС'!G22</f>
        <v>34</v>
      </c>
      <c r="I12" s="34">
        <f>'[1]ВЭС'!H22</f>
        <v>53.1</v>
      </c>
      <c r="J12" s="34">
        <f>'[1]ВЭС'!I22</f>
        <v>5.1</v>
      </c>
      <c r="K12" s="34">
        <f>'[1]ВЭС'!J22</f>
        <v>2.53</v>
      </c>
      <c r="L12" s="92">
        <f>'[1]ВЭС'!K22</f>
        <v>28.05</v>
      </c>
      <c r="M12" s="244">
        <f>'[3]Лист2'!H10</f>
        <v>50.76822857142857</v>
      </c>
      <c r="N12" s="34">
        <f>'[1]ВЭС'!M22</f>
        <v>28900</v>
      </c>
      <c r="O12" s="34">
        <f>'[1]ВЭС'!N22</f>
        <v>34</v>
      </c>
      <c r="P12" s="34">
        <f>'[1]ВЭС'!O22</f>
        <v>0.4</v>
      </c>
      <c r="Q12" s="34">
        <f>'[1]ВЭС'!P22</f>
        <v>57.8</v>
      </c>
      <c r="R12" s="34">
        <f>'[1]ВЭС'!Q22</f>
        <v>6</v>
      </c>
      <c r="S12" s="34">
        <f>'[1]ВЭС'!R22</f>
        <v>30.1</v>
      </c>
      <c r="T12" s="34">
        <f>'[1]ВЭС'!S22</f>
        <v>10</v>
      </c>
      <c r="U12" s="34" t="str">
        <f>'[1]ВЭС'!T22</f>
        <v>7240</v>
      </c>
      <c r="V12" s="34">
        <f>'[1]ВЭС'!U22</f>
        <v>0.4</v>
      </c>
      <c r="W12" s="34">
        <f>'[1]ВЭС'!V22</f>
        <v>110</v>
      </c>
      <c r="X12" s="34">
        <f>'[1]ВЭС'!W22</f>
        <v>6</v>
      </c>
      <c r="Y12" s="34">
        <f>'[1]ВЭС'!X22</f>
        <v>60</v>
      </c>
      <c r="Z12" s="34">
        <f>'[1]ВЭС'!Y22</f>
        <v>1702.5</v>
      </c>
      <c r="AA12" s="34">
        <f>'[1]ВЭС'!Z22</f>
        <v>3405</v>
      </c>
      <c r="AB12" s="34">
        <f>'[1]ВЭС'!AA22</f>
        <v>50</v>
      </c>
      <c r="AC12" s="92">
        <f t="shared" si="0"/>
        <v>5157.5</v>
      </c>
    </row>
    <row r="13" spans="1:29" ht="93" customHeight="1">
      <c r="A13" s="33">
        <v>6</v>
      </c>
      <c r="B13" s="677" t="str">
        <f>'Исходные по сверхнормат ТРЭ'!B9</f>
        <v>м. Дзержинськ </v>
      </c>
      <c r="C13" s="151">
        <f>'Исходные по сверхнормат ТРЭ'!C9</f>
        <v>50216.548</v>
      </c>
      <c r="D13" s="99">
        <f>'Исходные по сверхнормат ТРЭ'!F9</f>
        <v>7069.388</v>
      </c>
      <c r="E13" s="99">
        <f t="shared" si="1"/>
        <v>1294.97049384</v>
      </c>
      <c r="F13" s="35">
        <f>'[1]ВЭС'!E21</f>
        <v>2</v>
      </c>
      <c r="G13" s="106">
        <v>0</v>
      </c>
      <c r="H13" s="35">
        <f>'[1]ВЭС'!G21</f>
        <v>2</v>
      </c>
      <c r="I13" s="34">
        <f>'[1]ВЭС'!H21</f>
        <v>0.7</v>
      </c>
      <c r="J13" s="107">
        <f>'[1]ВЭС'!I21</f>
        <v>0</v>
      </c>
      <c r="K13" s="34">
        <f>'[1]ВЭС'!J21</f>
        <v>1.7</v>
      </c>
      <c r="L13" s="92">
        <f>'[1]ВЭС'!K21</f>
        <v>1.045</v>
      </c>
      <c r="M13" s="244">
        <f>'[3]Лист2'!H11</f>
        <v>1.7112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f>'[1]ВЭС'!S21</f>
        <v>2</v>
      </c>
      <c r="U13" s="34">
        <f>'[1]ВЭС'!T21</f>
        <v>3.2</v>
      </c>
      <c r="V13" s="34">
        <v>0</v>
      </c>
      <c r="W13" s="34">
        <v>0</v>
      </c>
      <c r="X13" s="34">
        <f>'[1]ВЭС'!W21</f>
        <v>6</v>
      </c>
      <c r="Y13" s="34">
        <f>'[1]ВЭС'!X21</f>
        <v>2.5</v>
      </c>
      <c r="Z13" s="34">
        <f>'[1]ВЭС'!Y21</f>
        <v>400</v>
      </c>
      <c r="AA13" s="34">
        <f>'[1]ВЭС'!Z21</f>
        <v>800</v>
      </c>
      <c r="AB13" s="34">
        <f>'[1]ВЭС'!AA21</f>
        <v>5</v>
      </c>
      <c r="AC13" s="92">
        <f t="shared" si="0"/>
        <v>1205</v>
      </c>
    </row>
    <row r="14" spans="1:29" ht="93" customHeight="1">
      <c r="A14" s="33">
        <v>7</v>
      </c>
      <c r="B14" s="677" t="str">
        <f>'Исходные по сверхнормат ТРЭ'!B10</f>
        <v>м. Дебальцеве </v>
      </c>
      <c r="C14" s="151">
        <f>'Исходные по сверхнормат ТРЭ'!C10</f>
        <v>65081.402</v>
      </c>
      <c r="D14" s="99">
        <f>'Исходные по сверхнормат ТРЭ'!F10</f>
        <v>24858.148</v>
      </c>
      <c r="E14" s="99">
        <f t="shared" si="1"/>
        <v>4553.51555064</v>
      </c>
      <c r="F14" s="35">
        <f>'[1]ВЭС'!E29</f>
        <v>25</v>
      </c>
      <c r="G14" s="106">
        <v>0</v>
      </c>
      <c r="H14" s="35">
        <f>'[1]ВЭС'!G29</f>
        <v>31</v>
      </c>
      <c r="I14" s="34">
        <f>'[1]ВЭС'!H29</f>
        <v>5.75</v>
      </c>
      <c r="J14" s="34">
        <f>'[1]ВЭС'!I29</f>
        <v>10.63</v>
      </c>
      <c r="K14" s="34">
        <f>'[1]ВЭС'!J29</f>
        <v>9.75</v>
      </c>
      <c r="L14" s="92">
        <f>'[1]ВЭС'!K29</f>
        <v>6.79</v>
      </c>
      <c r="M14" s="517">
        <v>275</v>
      </c>
      <c r="N14" s="34">
        <f>'[1]ВЭС'!M29*1000</f>
        <v>3230</v>
      </c>
      <c r="O14" s="34">
        <f>'[1]ВЭС'!N29</f>
        <v>2</v>
      </c>
      <c r="P14" s="34">
        <v>0</v>
      </c>
      <c r="Q14" s="34">
        <v>0</v>
      </c>
      <c r="R14" s="34">
        <f>'[1]ВЭС'!Q29</f>
        <v>6</v>
      </c>
      <c r="S14" s="34">
        <f>'[1]ВЭС'!R29</f>
        <v>2.4</v>
      </c>
      <c r="T14" s="34">
        <f>'[1]ВЭС'!S29</f>
        <v>6</v>
      </c>
      <c r="U14" s="34">
        <f>'[1]ВЭС'!T29</f>
        <v>200</v>
      </c>
      <c r="V14" s="34" t="str">
        <f>'[1]ВЭС'!U29</f>
        <v>35/2</v>
      </c>
      <c r="W14" s="34">
        <v>0</v>
      </c>
      <c r="X14" s="34" t="str">
        <f>'[1]ВЭС'!W29</f>
        <v>110/5</v>
      </c>
      <c r="Y14" s="34">
        <v>0</v>
      </c>
      <c r="Z14" s="34">
        <f>'[1]ВЭС'!Y29</f>
        <v>6500</v>
      </c>
      <c r="AA14" s="34">
        <f>'[1]ВЭС'!Z29</f>
        <v>50000</v>
      </c>
      <c r="AB14" s="34">
        <f>'[1]ВЭС'!AA29</f>
        <v>160</v>
      </c>
      <c r="AC14" s="92">
        <f t="shared" si="0"/>
        <v>56660</v>
      </c>
    </row>
    <row r="15" spans="1:29" ht="93" customHeight="1">
      <c r="A15" s="33">
        <v>8</v>
      </c>
      <c r="B15" s="677" t="str">
        <f>'Исходные по сверхнормат ТРЭ'!B11</f>
        <v>м. Зугрес </v>
      </c>
      <c r="C15" s="151">
        <f>'Исходные по сверхнормат ТРЭ'!C11</f>
        <v>18275.7</v>
      </c>
      <c r="D15" s="99">
        <f>'Исходные по сверхнормат ТРЭ'!F11</f>
        <v>3367.4</v>
      </c>
      <c r="E15" s="99">
        <f t="shared" si="1"/>
        <v>616.8403320000001</v>
      </c>
      <c r="F15" s="35">
        <f>'[1]ВЭС'!E24</f>
        <v>45</v>
      </c>
      <c r="G15" s="35">
        <f>'[1]ВЭС'!F24</f>
        <v>17300</v>
      </c>
      <c r="H15" s="35">
        <f>'[1]ВЭС'!G24</f>
        <v>55</v>
      </c>
      <c r="I15" s="34">
        <f>'[1]ВЭС'!H24</f>
        <v>51.6</v>
      </c>
      <c r="J15" s="34">
        <f>'[1]ВЭС'!I24</f>
        <v>17.1</v>
      </c>
      <c r="K15" s="34">
        <f>'[1]ВЭС'!J24</f>
        <v>22.9</v>
      </c>
      <c r="L15" s="92">
        <f>'[1]ВЭС'!K24</f>
        <v>12.8</v>
      </c>
      <c r="M15" s="244">
        <f>'[3]Лист2'!H13</f>
        <v>92.34171428571429</v>
      </c>
      <c r="N15" s="34">
        <f>'[1]ВЭС'!M24</f>
        <v>4910</v>
      </c>
      <c r="O15" s="34">
        <f>'[1]ВЭС'!N24</f>
        <v>9</v>
      </c>
      <c r="P15" s="34">
        <f>'[1]ВЭС'!O24</f>
        <v>0</v>
      </c>
      <c r="Q15" s="34">
        <f>'[1]ВЭС'!P24</f>
        <v>0</v>
      </c>
      <c r="R15" s="34">
        <f>'[1]ВЭС'!Q24</f>
        <v>6</v>
      </c>
      <c r="S15" s="34">
        <f>'[1]ВЭС'!R24</f>
        <v>3.2</v>
      </c>
      <c r="T15" s="34">
        <f>'[1]ВЭС'!S24</f>
        <v>2</v>
      </c>
      <c r="U15" s="34">
        <f>'[1]ВЭС'!T24</f>
        <v>1760</v>
      </c>
      <c r="V15" s="34">
        <f>'[1]ВЭС'!U24</f>
        <v>0</v>
      </c>
      <c r="W15" s="34">
        <f>'[1]ВЭС'!V24</f>
        <v>0</v>
      </c>
      <c r="X15" s="34">
        <f>'[1]ВЭС'!W24</f>
        <v>6</v>
      </c>
      <c r="Y15" s="34">
        <f>'[1]ВЭС'!X24</f>
        <v>0.9</v>
      </c>
      <c r="Z15" s="34">
        <f>'[1]ВЭС'!Y24</f>
        <v>1800</v>
      </c>
      <c r="AA15" s="34">
        <f>'[1]ВЭС'!Z24</f>
        <v>1400</v>
      </c>
      <c r="AB15" s="34">
        <f>'[1]ВЭС'!AA24</f>
        <v>30</v>
      </c>
      <c r="AC15" s="92">
        <f t="shared" si="0"/>
        <v>3230</v>
      </c>
    </row>
    <row r="16" spans="1:29" s="105" customFormat="1" ht="93" customHeight="1">
      <c r="A16" s="102">
        <v>9</v>
      </c>
      <c r="B16" s="678" t="str">
        <f>'Исходные по сверхнормат ТРЭ'!B12</f>
        <v>м. Селидове </v>
      </c>
      <c r="C16" s="151">
        <f>'Исходные по сверхнормат ТРЭ'!C12</f>
        <v>0</v>
      </c>
      <c r="D16" s="99">
        <f>'Исходные по сверхнормат ТРЭ'!F12</f>
        <v>0</v>
      </c>
      <c r="E16" s="99"/>
      <c r="F16" s="87"/>
      <c r="G16" s="87"/>
      <c r="H16" s="87"/>
      <c r="I16" s="103"/>
      <c r="J16" s="103"/>
      <c r="K16" s="103"/>
      <c r="L16" s="104"/>
      <c r="M16" s="244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4"/>
    </row>
    <row r="17" spans="1:29" ht="93" customHeight="1">
      <c r="A17" s="33">
        <v>10</v>
      </c>
      <c r="B17" s="677" t="str">
        <f>'Исходные по сверхнормат ТРЭ'!B13</f>
        <v>м. Українськ </v>
      </c>
      <c r="C17" s="151">
        <f>'Исходные по сверхнормат ТРЭ'!C13</f>
        <v>47961</v>
      </c>
      <c r="D17" s="99">
        <f>'Исходные по сверхнормат ТРЭ'!F13</f>
        <v>10810</v>
      </c>
      <c r="E17" s="99">
        <f t="shared" si="1"/>
        <v>1980.1758</v>
      </c>
      <c r="F17" s="35">
        <f>'[1]ВЭС'!E16</f>
        <v>21</v>
      </c>
      <c r="G17" s="35">
        <f>'[1]ВЭС'!F16</f>
        <v>13645</v>
      </c>
      <c r="H17" s="35">
        <f>'[1]ВЭС'!G16</f>
        <v>21</v>
      </c>
      <c r="I17" s="34">
        <f>'[1]ВЭС'!H16</f>
        <v>28</v>
      </c>
      <c r="J17" s="34">
        <f>'[1]ВЭС'!I16</f>
        <v>5.3</v>
      </c>
      <c r="K17" s="34">
        <f>'[1]ВЭС'!J16</f>
        <v>0.99</v>
      </c>
      <c r="L17" s="92">
        <f>'[1]ВЭС'!K16</f>
        <v>11.5</v>
      </c>
      <c r="M17" s="244">
        <f>'[3]Лист2'!H15</f>
        <v>15.419314285714288</v>
      </c>
      <c r="N17" s="34">
        <f>'[1]ВЭС'!M16</f>
        <v>21100</v>
      </c>
      <c r="O17" s="34">
        <f>'[1]ВЭС'!N16</f>
        <v>21</v>
      </c>
      <c r="P17" s="34">
        <f>'[1]ВЭС'!O16</f>
        <v>0.4</v>
      </c>
      <c r="Q17" s="34">
        <f>'[1]ВЭС'!P16</f>
        <v>29.3</v>
      </c>
      <c r="R17" s="34">
        <f>'[1]ВЭС'!Q16</f>
        <v>6</v>
      </c>
      <c r="S17" s="34">
        <f>'[1]ВЭС'!R16</f>
        <v>12.2</v>
      </c>
      <c r="T17" s="34">
        <f>'[1]ВЭС'!S16</f>
        <v>25</v>
      </c>
      <c r="U17" s="34">
        <f>'[1]ВЭС'!T16</f>
        <v>18240</v>
      </c>
      <c r="V17" s="34">
        <f>'[1]ВЭС'!U16</f>
        <v>0.4</v>
      </c>
      <c r="W17" s="34">
        <f>'[1]ВЭС'!V16</f>
        <v>58</v>
      </c>
      <c r="X17" s="34">
        <f>'[1]ВЭС'!W16</f>
        <v>6</v>
      </c>
      <c r="Y17" s="34">
        <f>'[1]ВЭС'!X16</f>
        <v>24</v>
      </c>
      <c r="Z17" s="34">
        <f>'[1]ВЭС'!Y16</f>
        <v>6620</v>
      </c>
      <c r="AA17" s="34">
        <f>'[1]ВЭС'!Z16</f>
        <v>13240</v>
      </c>
      <c r="AB17" s="34">
        <f>'[1]ВЭС'!AA16</f>
        <v>130</v>
      </c>
      <c r="AC17" s="92">
        <f aca="true" t="shared" si="2" ref="AC17:AC23">SUM(Z17:AB17)</f>
        <v>19990</v>
      </c>
    </row>
    <row r="18" spans="1:29" ht="93" customHeight="1">
      <c r="A18" s="33">
        <v>11</v>
      </c>
      <c r="B18" s="677" t="str">
        <f>'Исходные по сверхнормат ТРЭ'!B14</f>
        <v>с. Курахівка </v>
      </c>
      <c r="C18" s="151">
        <f>'Исходные по сверхнормат ТРЭ'!C14</f>
        <v>12648</v>
      </c>
      <c r="D18" s="99">
        <f>'Исходные по сверхнормат ТРЭ'!F14</f>
        <v>1979</v>
      </c>
      <c r="E18" s="99">
        <f t="shared" si="1"/>
        <v>362.51322000000005</v>
      </c>
      <c r="F18" s="35">
        <f>'[1]ВЭС'!E19</f>
        <v>10</v>
      </c>
      <c r="G18" s="35">
        <f>'[1]ВЭС'!F19</f>
        <v>3220</v>
      </c>
      <c r="H18" s="35">
        <f>'[1]ВЭС'!G19</f>
        <v>10</v>
      </c>
      <c r="I18" s="34">
        <f>'[1]ВЭС'!H19</f>
        <v>39.32</v>
      </c>
      <c r="J18" s="34">
        <f>'[1]ВЭС'!I19</f>
        <v>0</v>
      </c>
      <c r="K18" s="34">
        <f>'[1]ВЭС'!J19</f>
        <v>4.49</v>
      </c>
      <c r="L18" s="92">
        <f>'[1]ВЭС'!K19</f>
        <v>1.03</v>
      </c>
      <c r="M18" s="244">
        <f>'[3]Лист2'!H16</f>
        <v>3.0329142857142863</v>
      </c>
      <c r="N18" s="34">
        <f>'[1]ВЭС'!M19</f>
        <v>6200</v>
      </c>
      <c r="O18" s="34">
        <f>'[1]ВЭС'!N19</f>
        <v>10</v>
      </c>
      <c r="P18" s="34">
        <f>'[1]ВЭС'!O19</f>
        <v>0.4</v>
      </c>
      <c r="Q18" s="34">
        <f>'[1]ВЭС'!P19</f>
        <v>37.6</v>
      </c>
      <c r="R18" s="34">
        <f>'[1]ВЭС'!Q19</f>
        <v>6</v>
      </c>
      <c r="S18" s="34">
        <f>'[1]ВЭС'!R19</f>
        <v>5.5</v>
      </c>
      <c r="T18" s="34">
        <f>'[1]ВЭС'!S19</f>
        <v>1</v>
      </c>
      <c r="U18" s="34">
        <f>'[1]ВЭС'!T19</f>
        <v>400</v>
      </c>
      <c r="V18" s="34">
        <f>'[1]ВЭС'!U19</f>
        <v>0.4</v>
      </c>
      <c r="W18" s="34">
        <f>'[1]ВЭС'!V19</f>
        <v>72</v>
      </c>
      <c r="X18" s="34">
        <f>'[1]ВЭС'!W19</f>
        <v>6</v>
      </c>
      <c r="Y18" s="34">
        <f>'[1]ВЭС'!X19</f>
        <v>10.5</v>
      </c>
      <c r="Z18" s="34">
        <f>'[1]ВЭС'!Y19</f>
        <v>233.5</v>
      </c>
      <c r="AA18" s="34">
        <f>'[1]ВЭС'!Z19</f>
        <v>467</v>
      </c>
      <c r="AB18" s="34">
        <f>'[1]ВЭС'!AA19</f>
        <v>2.5</v>
      </c>
      <c r="AC18" s="92">
        <f t="shared" si="2"/>
        <v>703</v>
      </c>
    </row>
    <row r="19" spans="1:30" ht="93" customHeight="1">
      <c r="A19" s="33">
        <v>12</v>
      </c>
      <c r="B19" s="677" t="str">
        <f>'Исходные по сверхнормат ТРЭ'!B15</f>
        <v>с. Гостре </v>
      </c>
      <c r="C19" s="151">
        <f>'Исходные по сверхнормат ТРЭ'!C15</f>
        <v>2748</v>
      </c>
      <c r="D19" s="99">
        <f>'Исходные по сверхнормат ТРЭ'!F15</f>
        <v>376</v>
      </c>
      <c r="E19" s="99">
        <f t="shared" si="1"/>
        <v>68.87568</v>
      </c>
      <c r="F19" s="35">
        <f>'[1]ВЭС'!E17</f>
        <v>2</v>
      </c>
      <c r="G19" s="35">
        <f>'[1]ВЭС'!F17</f>
        <v>790</v>
      </c>
      <c r="H19" s="35">
        <f>'[1]ВЭС'!G17</f>
        <v>2</v>
      </c>
      <c r="I19" s="34">
        <f>'[1]ВЭС'!H17</f>
        <v>4.9</v>
      </c>
      <c r="J19" s="34">
        <f>'[1]ВЭС'!I17</f>
        <v>0</v>
      </c>
      <c r="K19" s="34">
        <f>'[1]ВЭС'!J17</f>
        <v>3.38</v>
      </c>
      <c r="L19" s="92">
        <f>'[1]ВЭС'!K17</f>
        <v>0.06</v>
      </c>
      <c r="M19" s="244">
        <f>'[3]Лист2'!H17</f>
        <v>2.901257142857143</v>
      </c>
      <c r="N19" s="34">
        <f>'[1]ВЭС'!M17</f>
        <v>1200</v>
      </c>
      <c r="O19" s="34">
        <f>'[1]ВЭС'!N17</f>
        <v>2</v>
      </c>
      <c r="P19" s="34">
        <f>'[1]ВЭС'!O17</f>
        <v>0.4</v>
      </c>
      <c r="Q19" s="34">
        <f>'[1]ВЭС'!P17</f>
        <v>4.5</v>
      </c>
      <c r="R19" s="34">
        <f>'[1]ВЭС'!Q17</f>
        <v>6</v>
      </c>
      <c r="S19" s="34">
        <f>'[1]ВЭС'!R17</f>
        <v>3.4</v>
      </c>
      <c r="T19" s="34">
        <f>'[1]ВЭС'!S17</f>
        <v>2</v>
      </c>
      <c r="U19" s="34">
        <f>'[1]ВЭС'!T17</f>
        <v>960</v>
      </c>
      <c r="V19" s="34">
        <f>'[1]ВЭС'!U17</f>
        <v>0.4</v>
      </c>
      <c r="W19" s="34">
        <f>'[1]ВЭС'!V17</f>
        <v>9</v>
      </c>
      <c r="X19" s="34">
        <f>'[1]ВЭС'!W17</f>
        <v>6</v>
      </c>
      <c r="Y19" s="34">
        <f>'[1]ВЭС'!X17</f>
        <v>7</v>
      </c>
      <c r="Z19" s="34">
        <f>'[1]ВЭС'!Y17</f>
        <v>542</v>
      </c>
      <c r="AA19" s="34">
        <f>'[1]ВЭС'!Z17</f>
        <v>1084</v>
      </c>
      <c r="AB19" s="34">
        <f>'[1]ВЭС'!AA17</f>
        <v>10</v>
      </c>
      <c r="AC19" s="92">
        <f t="shared" si="2"/>
        <v>1636</v>
      </c>
      <c r="AD19" s="101"/>
    </row>
    <row r="20" spans="1:29" ht="93" customHeight="1">
      <c r="A20" s="33">
        <v>13</v>
      </c>
      <c r="B20" s="677" t="str">
        <f>'Исходные по сверхнормат ТРЭ'!B16</f>
        <v>с. Цукурине </v>
      </c>
      <c r="C20" s="151">
        <f>'Исходные по сверхнормат ТРЭ'!C16</f>
        <v>4626</v>
      </c>
      <c r="D20" s="99">
        <f>'Исходные по сверхнормат ТРЭ'!F16</f>
        <v>620</v>
      </c>
      <c r="E20" s="99">
        <f t="shared" si="1"/>
        <v>113.5716</v>
      </c>
      <c r="F20" s="35">
        <f>'[1]ВЭС'!E20</f>
        <v>4</v>
      </c>
      <c r="G20" s="35">
        <f>'[1]ВЭС'!F20</f>
        <v>1290</v>
      </c>
      <c r="H20" s="35">
        <f>'[1]ВЭС'!G20</f>
        <v>4</v>
      </c>
      <c r="I20" s="34">
        <f>'[1]ВЭС'!H20</f>
        <v>12</v>
      </c>
      <c r="J20" s="34">
        <f>'[1]ВЭС'!I20</f>
        <v>0</v>
      </c>
      <c r="K20" s="34">
        <f>'[1]ВЭС'!J20</f>
        <v>3.07</v>
      </c>
      <c r="L20" s="92">
        <f>'[1]ВЭС'!K20</f>
        <v>0</v>
      </c>
      <c r="M20" s="244">
        <f>'[3]Лист2'!H18</f>
        <v>3.3894857142857147</v>
      </c>
      <c r="N20" s="34">
        <f>'[1]ВЭС'!M20</f>
        <v>2480</v>
      </c>
      <c r="O20" s="34">
        <f>'[1]ВЭС'!N20</f>
        <v>4</v>
      </c>
      <c r="P20" s="34">
        <f>'[1]ВЭС'!O20</f>
        <v>0.4</v>
      </c>
      <c r="Q20" s="34">
        <f>'[1]ВЭС'!P20</f>
        <v>10</v>
      </c>
      <c r="R20" s="34">
        <f>'[1]ВЭС'!Q20</f>
        <v>6</v>
      </c>
      <c r="S20" s="34">
        <f>'[1]ВЭС'!R20</f>
        <v>2.7</v>
      </c>
      <c r="T20" s="34">
        <f>'[1]ВЭС'!S20</f>
        <v>2</v>
      </c>
      <c r="U20" s="34">
        <f>'[1]ВЭС'!T20</f>
        <v>1030</v>
      </c>
      <c r="V20" s="34">
        <f>'[1]ВЭС'!U20</f>
        <v>0.4</v>
      </c>
      <c r="W20" s="34">
        <f>'[1]ВЭС'!V20</f>
        <v>20</v>
      </c>
      <c r="X20" s="34">
        <f>'[1]ВЭС'!W20</f>
        <v>6</v>
      </c>
      <c r="Y20" s="34">
        <f>'[1]ВЭС'!X20</f>
        <v>5.2</v>
      </c>
      <c r="Z20" s="34">
        <f>'[1]ВЭС'!Y20</f>
        <v>269</v>
      </c>
      <c r="AA20" s="34">
        <f>'[1]ВЭС'!Z20</f>
        <v>538</v>
      </c>
      <c r="AB20" s="34">
        <f>'[1]ВЭС'!AA20</f>
        <v>5</v>
      </c>
      <c r="AC20" s="92">
        <f t="shared" si="2"/>
        <v>812</v>
      </c>
    </row>
    <row r="21" spans="1:29" ht="93" customHeight="1">
      <c r="A21" s="33">
        <v>14</v>
      </c>
      <c r="B21" s="677" t="str">
        <f>'Исходные по сверхнормат ТРЭ'!B17</f>
        <v>м. Гірник </v>
      </c>
      <c r="C21" s="151">
        <f>'Исходные по сверхнормат ТРЭ'!C17</f>
        <v>54263</v>
      </c>
      <c r="D21" s="99">
        <f>'Исходные по сверхнормат ТРЭ'!F17</f>
        <v>10815</v>
      </c>
      <c r="E21" s="99">
        <f t="shared" si="1"/>
        <v>1981.0917000000002</v>
      </c>
      <c r="F21" s="35">
        <f>'[1]ВЭС'!E15</f>
        <v>25</v>
      </c>
      <c r="G21" s="35">
        <f>'[1]ВЭС'!F15</f>
        <v>10940</v>
      </c>
      <c r="H21" s="35">
        <f>'[1]ВЭС'!G15</f>
        <v>25</v>
      </c>
      <c r="I21" s="34">
        <f>'[1]ВЭС'!H15</f>
        <v>47.3</v>
      </c>
      <c r="J21" s="34">
        <f>'[1]ВЭС'!I15</f>
        <v>7.6</v>
      </c>
      <c r="K21" s="34">
        <f>'[1]ВЭС'!J15</f>
        <v>10.67</v>
      </c>
      <c r="L21" s="92">
        <f>'[1]ВЭС'!K15</f>
        <v>7.4</v>
      </c>
      <c r="M21" s="244">
        <f>'[3]Лист2'!H19</f>
        <v>45.252342857142864</v>
      </c>
      <c r="N21" s="34">
        <f>'[1]ВЭС'!M15</f>
        <v>21200</v>
      </c>
      <c r="O21" s="34">
        <f>'[1]ВЭС'!N15</f>
        <v>25</v>
      </c>
      <c r="P21" s="34">
        <f>'[1]ВЭС'!O15</f>
        <v>0.4</v>
      </c>
      <c r="Q21" s="34">
        <f>'[1]ВЭС'!P15</f>
        <v>54.3</v>
      </c>
      <c r="R21" s="34">
        <f>'[1]ВЭС'!Q15</f>
        <v>6</v>
      </c>
      <c r="S21" s="34">
        <f>'[1]ВЭС'!R15</f>
        <v>18.1</v>
      </c>
      <c r="T21" s="34">
        <f>'[1]ВЭС'!S15</f>
        <v>27</v>
      </c>
      <c r="U21" s="34">
        <f>'[1]ВЭС'!T15</f>
        <v>19440</v>
      </c>
      <c r="V21" s="34">
        <f>'[1]ВЭС'!U15</f>
        <v>0.4</v>
      </c>
      <c r="W21" s="34">
        <f>'[1]ВЭС'!V15</f>
        <v>105</v>
      </c>
      <c r="X21" s="34">
        <f>'[1]ВЭС'!W15</f>
        <v>6</v>
      </c>
      <c r="Y21" s="34">
        <f>'[1]ВЭС'!X15</f>
        <v>35</v>
      </c>
      <c r="Z21" s="34">
        <f>'[1]ВЭС'!Y15</f>
        <v>7363</v>
      </c>
      <c r="AA21" s="34">
        <f>'[1]ВЭС'!Z15</f>
        <v>14726</v>
      </c>
      <c r="AB21" s="34">
        <f>'[1]ВЭС'!AA15</f>
        <v>150</v>
      </c>
      <c r="AC21" s="92">
        <f t="shared" si="2"/>
        <v>22239</v>
      </c>
    </row>
    <row r="22" spans="1:29" ht="93" customHeight="1">
      <c r="A22" s="33">
        <v>15</v>
      </c>
      <c r="B22" s="677" t="s">
        <v>361</v>
      </c>
      <c r="C22" s="151">
        <f>'Исходные по сверхнормат ТРЭ'!C18</f>
        <v>16322</v>
      </c>
      <c r="D22" s="99">
        <f>'Исходные по сверхнормат ТРЭ'!F18</f>
        <v>952</v>
      </c>
      <c r="E22" s="99">
        <f t="shared" si="1"/>
        <v>174.38736</v>
      </c>
      <c r="F22" s="35">
        <f>'[1]ВЭС'!E25</f>
        <v>23</v>
      </c>
      <c r="G22" s="35">
        <f>'[1]ВЭС'!F25</f>
        <v>10630</v>
      </c>
      <c r="H22" s="35">
        <f>'[1]ВЭС'!G25</f>
        <v>25</v>
      </c>
      <c r="I22" s="34">
        <f>'[1]ВЭС'!H25</f>
        <v>36.65</v>
      </c>
      <c r="J22" s="34">
        <f>'[1]ВЭС'!I25</f>
        <v>5.1</v>
      </c>
      <c r="K22" s="34">
        <f>'[1]ВЭС'!J25</f>
        <v>2.53</v>
      </c>
      <c r="L22" s="92">
        <f>'[1]ВЭС'!K25</f>
        <v>6.8</v>
      </c>
      <c r="M22" s="244">
        <f>'[3]Лист2'!H20</f>
        <v>2.3718857142857144</v>
      </c>
      <c r="N22" s="34">
        <f>'[1]ВЭС'!M25</f>
        <v>32115</v>
      </c>
      <c r="O22" s="34">
        <f>'[1]ВЭС'!N25</f>
        <v>25</v>
      </c>
      <c r="P22" s="34">
        <f>'[1]ВЭС'!O25</f>
        <v>0.4</v>
      </c>
      <c r="Q22" s="34">
        <f>'[1]ВЭС'!P25</f>
        <v>40.7</v>
      </c>
      <c r="R22" s="34">
        <f>'[1]ВЭС'!Q25</f>
        <v>6</v>
      </c>
      <c r="S22" s="34">
        <f>'[1]ВЭС'!R25</f>
        <v>27.2</v>
      </c>
      <c r="T22" s="34">
        <f>'[1]ВЭС'!S25</f>
        <v>25</v>
      </c>
      <c r="U22" s="34">
        <f>'[1]ВЭС'!T25</f>
        <v>18240</v>
      </c>
      <c r="V22" s="34">
        <f>'[1]ВЭС'!U25</f>
        <v>0.4</v>
      </c>
      <c r="W22" s="34">
        <f>'[1]ВЭС'!V25</f>
        <v>80</v>
      </c>
      <c r="X22" s="34">
        <f>'[1]ВЭС'!W25</f>
        <v>6</v>
      </c>
      <c r="Y22" s="34">
        <f>'[1]ВЭС'!X25</f>
        <v>53</v>
      </c>
      <c r="Z22" s="34">
        <f>'[1]ВЭС'!Y25</f>
        <v>6600</v>
      </c>
      <c r="AA22" s="34">
        <f>'[1]ВЭС'!Z25</f>
        <v>13200</v>
      </c>
      <c r="AB22" s="34">
        <f>'[1]ВЭС'!AA25</f>
        <v>100</v>
      </c>
      <c r="AC22" s="92">
        <f t="shared" si="2"/>
        <v>19900</v>
      </c>
    </row>
    <row r="23" spans="1:29" s="261" customFormat="1" ht="93" customHeight="1">
      <c r="A23" s="256">
        <v>16</v>
      </c>
      <c r="B23" s="679" t="str">
        <f>'Исходные по сверхнормат ТРЭ'!B19</f>
        <v>м. Добропілля </v>
      </c>
      <c r="C23" s="151">
        <f>'Исходные по сверхнормат ТРЭ'!C19</f>
        <v>78054</v>
      </c>
      <c r="D23" s="151">
        <f>'Исходные по сверхнормат ТРЭ'!F19</f>
        <v>8586</v>
      </c>
      <c r="E23" s="257">
        <f t="shared" si="1"/>
        <v>1572.78348</v>
      </c>
      <c r="F23" s="258">
        <v>73</v>
      </c>
      <c r="G23" s="258">
        <v>24080</v>
      </c>
      <c r="H23" s="258">
        <v>74</v>
      </c>
      <c r="I23" s="259">
        <v>175</v>
      </c>
      <c r="J23" s="259">
        <v>16.3</v>
      </c>
      <c r="K23" s="259">
        <v>28</v>
      </c>
      <c r="L23" s="260">
        <v>35.73</v>
      </c>
      <c r="M23" s="244">
        <f>'[3]Лист2'!H21</f>
        <v>208.64640000000003</v>
      </c>
      <c r="N23" s="259">
        <v>20010</v>
      </c>
      <c r="O23" s="259">
        <v>62</v>
      </c>
      <c r="P23" s="259">
        <v>0.4</v>
      </c>
      <c r="Q23" s="259">
        <v>190</v>
      </c>
      <c r="R23" s="259">
        <v>6</v>
      </c>
      <c r="S23" s="259">
        <v>51</v>
      </c>
      <c r="T23" s="259">
        <v>140</v>
      </c>
      <c r="U23" s="259">
        <v>76320</v>
      </c>
      <c r="V23" s="259">
        <v>0.4</v>
      </c>
      <c r="W23" s="259">
        <v>0</v>
      </c>
      <c r="X23" s="259">
        <v>6</v>
      </c>
      <c r="Y23" s="259">
        <v>40</v>
      </c>
      <c r="Z23" s="259">
        <v>28000</v>
      </c>
      <c r="AA23" s="259">
        <v>56024</v>
      </c>
      <c r="AB23" s="259">
        <v>250</v>
      </c>
      <c r="AC23" s="255">
        <f t="shared" si="2"/>
        <v>84274</v>
      </c>
    </row>
    <row r="24" spans="1:29" ht="93" customHeight="1">
      <c r="A24" s="33">
        <v>17</v>
      </c>
      <c r="B24" s="677" t="str">
        <f>'Исходные по сверхнормат ТРЭ'!B20</f>
        <v>с. Новодонецьке </v>
      </c>
      <c r="C24" s="151">
        <f>'Исходные по сверхнормат ТРЭ'!C20</f>
        <v>16793</v>
      </c>
      <c r="D24" s="99">
        <f>'Исходные по сверхнормат ТРЭ'!F20</f>
        <v>3530</v>
      </c>
      <c r="E24" s="99">
        <f t="shared" si="1"/>
        <v>646.6254</v>
      </c>
      <c r="F24" s="35">
        <f>'[1]ВЭС'!E13</f>
        <v>7</v>
      </c>
      <c r="G24" s="35">
        <f>'[1]ВЭС'!F13</f>
        <v>3900</v>
      </c>
      <c r="H24" s="35">
        <f>'[1]ВЭС'!G13</f>
        <v>9</v>
      </c>
      <c r="I24" s="34">
        <f>'[1]ВЭС'!H13</f>
        <v>18.36</v>
      </c>
      <c r="J24" s="34">
        <f>'[1]ВЭС'!I13</f>
        <v>1.9</v>
      </c>
      <c r="K24" s="34">
        <f>'[1]ВЭС'!J13</f>
        <v>5.05</v>
      </c>
      <c r="L24" s="92">
        <f>'[1]ВЭС'!K13</f>
        <v>7.49</v>
      </c>
      <c r="M24" s="244">
        <f>'[3]Лист2'!H22</f>
        <v>40.47257142857143</v>
      </c>
      <c r="N24" s="34">
        <f>'[1]ВЭС'!M13</f>
        <v>7200</v>
      </c>
      <c r="O24" s="34">
        <f>'[1]ВЭС'!N13</f>
        <v>9</v>
      </c>
      <c r="P24" s="34">
        <f>'[1]ВЭС'!O13</f>
        <v>0.4</v>
      </c>
      <c r="Q24" s="34">
        <f>'[1]ВЭС'!P13</f>
        <v>20.2</v>
      </c>
      <c r="R24" s="34">
        <f>'[1]ВЭС'!Q13</f>
        <v>6</v>
      </c>
      <c r="S24" s="34">
        <f>'[1]ВЭС'!R13</f>
        <v>13.4</v>
      </c>
      <c r="T24" s="34">
        <f>'[1]ВЭС'!S13</f>
        <v>18</v>
      </c>
      <c r="U24" s="34">
        <f>'[1]ВЭС'!T13</f>
        <v>134030</v>
      </c>
      <c r="V24" s="34">
        <f>'[1]ВЭС'!U13</f>
        <v>0.4</v>
      </c>
      <c r="W24" s="34">
        <f>'[1]ВЭС'!V13</f>
        <v>40</v>
      </c>
      <c r="X24" s="34">
        <f>'[1]ВЭС'!W13</f>
        <v>6</v>
      </c>
      <c r="Y24" s="34">
        <f>'[1]ВЭС'!X13</f>
        <v>26</v>
      </c>
      <c r="Z24" s="34">
        <f>'[1]ВЭС'!Y13</f>
        <v>3069</v>
      </c>
      <c r="AA24" s="34">
        <f>'[1]ВЭС'!Z13</f>
        <v>6138</v>
      </c>
      <c r="AB24" s="34">
        <f>'[1]ВЭС'!AA13</f>
        <v>20</v>
      </c>
      <c r="AC24" s="92">
        <f>SUM(Z24:AB24)</f>
        <v>9227</v>
      </c>
    </row>
    <row r="25" spans="1:29" ht="93" customHeight="1">
      <c r="A25" s="33">
        <v>18</v>
      </c>
      <c r="B25" s="677" t="str">
        <f>'Исходные по сверхнормат ТРЭ'!B21</f>
        <v>м. Білозерське </v>
      </c>
      <c r="C25" s="151">
        <f>'Исходные по сверхнормат ТРЭ'!C21</f>
        <v>28315</v>
      </c>
      <c r="D25" s="99">
        <f>'Исходные по сверхнормат ТРЭ'!F21</f>
        <v>5946</v>
      </c>
      <c r="E25" s="99">
        <f t="shared" si="1"/>
        <v>1089.18828</v>
      </c>
      <c r="F25" s="35">
        <f>'[1]ВЭС'!E10</f>
        <v>29</v>
      </c>
      <c r="G25" s="35">
        <f>'[1]ВЭС'!F10</f>
        <v>12405</v>
      </c>
      <c r="H25" s="35">
        <f>'[1]ВЭС'!G10</f>
        <v>33</v>
      </c>
      <c r="I25" s="34">
        <f>'[1]ВЭС'!H10</f>
        <v>33.4</v>
      </c>
      <c r="J25" s="34">
        <f>'[1]ВЭС'!I10</f>
        <v>9.4</v>
      </c>
      <c r="K25" s="34">
        <f>'[1]ВЭС'!J10</f>
        <v>12.96</v>
      </c>
      <c r="L25" s="92">
        <f>'[1]ВЭС'!K10</f>
        <v>15.2</v>
      </c>
      <c r="M25" s="244">
        <f>'[3]Лист2'!H23</f>
        <v>95.8985142857143</v>
      </c>
      <c r="N25" s="34">
        <f>'[1]ВЭС'!M10</f>
        <v>32500</v>
      </c>
      <c r="O25" s="34">
        <f>'[1]ВЭС'!N10</f>
        <v>33</v>
      </c>
      <c r="P25" s="34">
        <f>'[1]ВЭС'!O10</f>
        <v>0.4</v>
      </c>
      <c r="Q25" s="34">
        <f>'[1]ВЭС'!P10</f>
        <v>32.2</v>
      </c>
      <c r="R25" s="34">
        <f>'[1]ВЭС'!Q10</f>
        <v>6</v>
      </c>
      <c r="S25" s="34">
        <f>'[1]ВЭС'!R10</f>
        <v>17.5</v>
      </c>
      <c r="T25" s="34">
        <f>'[1]ВЭС'!S10</f>
        <v>70</v>
      </c>
      <c r="U25" s="34">
        <f>'[1]ВЭС'!T10</f>
        <v>38810</v>
      </c>
      <c r="V25" s="34">
        <f>'[1]ВЭС'!U10</f>
        <v>0.4</v>
      </c>
      <c r="W25" s="34">
        <f>'[1]ВЭС'!V10</f>
        <v>61</v>
      </c>
      <c r="X25" s="34">
        <f>'[1]ВЭС'!W10</f>
        <v>6</v>
      </c>
      <c r="Y25" s="34">
        <f>'[1]ВЭС'!X10</f>
        <v>33</v>
      </c>
      <c r="Z25" s="34">
        <f>'[1]ВЭС'!Y10</f>
        <v>14026</v>
      </c>
      <c r="AA25" s="34">
        <f>'[1]ВЭС'!Z10</f>
        <v>28052</v>
      </c>
      <c r="AB25" s="34">
        <f>'[1]ВЭС'!AA10</f>
        <v>100</v>
      </c>
      <c r="AC25" s="92">
        <f>SUM(Z25:AB25)</f>
        <v>42178</v>
      </c>
    </row>
    <row r="26" spans="1:29" ht="93" customHeight="1">
      <c r="A26" s="33">
        <v>19</v>
      </c>
      <c r="B26" s="677" t="str">
        <f>'Исходные по сверхнормат ТРЭ'!B22</f>
        <v>м. Білицьке </v>
      </c>
      <c r="C26" s="151">
        <f>'Исходные по сверхнормат ТРЭ'!C22</f>
        <v>22263</v>
      </c>
      <c r="D26" s="99">
        <f>'Исходные по сверхнормат ТРЭ'!F22</f>
        <v>2894</v>
      </c>
      <c r="E26" s="99">
        <f t="shared" si="1"/>
        <v>530.12292</v>
      </c>
      <c r="F26" s="35">
        <f>'[1]ВЭС'!E11</f>
        <v>17</v>
      </c>
      <c r="G26" s="35">
        <f>'[1]ВЭС'!F11</f>
        <v>5065</v>
      </c>
      <c r="H26" s="35">
        <f>'[1]ВЭС'!G11</f>
        <v>14</v>
      </c>
      <c r="I26" s="34">
        <f>'[1]ВЭС'!H11</f>
        <v>41.44</v>
      </c>
      <c r="J26" s="34">
        <f>'[1]ВЭС'!I11</f>
        <v>2.1</v>
      </c>
      <c r="K26" s="34">
        <f>'[1]ВЭС'!J11</f>
        <v>2.15</v>
      </c>
      <c r="L26" s="92">
        <f>'[1]ВЭС'!K11</f>
        <v>13.37</v>
      </c>
      <c r="M26" s="244">
        <f>'[3]Лист2'!H24</f>
        <v>88.50171428571427</v>
      </c>
      <c r="N26" s="34">
        <f>'[1]ВЭС'!M11</f>
        <v>8500</v>
      </c>
      <c r="O26" s="34">
        <f>'[1]ВЭС'!N11</f>
        <v>14</v>
      </c>
      <c r="P26" s="34">
        <f>'[1]ВЭС'!O11</f>
        <v>0.4</v>
      </c>
      <c r="Q26" s="34">
        <f>'[1]ВЭС'!P11</f>
        <v>43.3</v>
      </c>
      <c r="R26" s="34">
        <f>'[1]ВЭС'!Q11</f>
        <v>6</v>
      </c>
      <c r="S26" s="34">
        <f>'[1]ВЭС'!R11</f>
        <v>15.3</v>
      </c>
      <c r="T26" s="34">
        <f>'[1]ВЭС'!S11</f>
        <v>23</v>
      </c>
      <c r="U26" s="34">
        <f>'[1]ВЭС'!T11</f>
        <v>18760</v>
      </c>
      <c r="V26" s="34">
        <f>'[1]ВЭС'!U11</f>
        <v>0.4</v>
      </c>
      <c r="W26" s="34">
        <f>'[1]ВЭС'!V11</f>
        <v>85</v>
      </c>
      <c r="X26" s="34">
        <f>'[1]ВЭС'!W11</f>
        <v>6</v>
      </c>
      <c r="Y26" s="34">
        <f>'[1]ВЭС'!X11</f>
        <v>30</v>
      </c>
      <c r="Z26" s="34">
        <f>'[1]ВЭС'!Y11</f>
        <v>4751.5</v>
      </c>
      <c r="AA26" s="34">
        <f>'[1]ВЭС'!Z11</f>
        <v>9503</v>
      </c>
      <c r="AB26" s="34">
        <f>'[1]ВЭС'!AA11</f>
        <v>50</v>
      </c>
      <c r="AC26" s="92">
        <f>SUM(Z26:AB26)</f>
        <v>14304.5</v>
      </c>
    </row>
    <row r="27" spans="1:29" ht="93" customHeight="1">
      <c r="A27" s="33">
        <v>20</v>
      </c>
      <c r="B27" s="677" t="str">
        <f>'Исходные по сверхнормат ТРЭ'!B23</f>
        <v>с. Водянське </v>
      </c>
      <c r="C27" s="151">
        <f>'Исходные по сверхнормат ТРЭ'!C23</f>
        <v>15314</v>
      </c>
      <c r="D27" s="99">
        <f>'Исходные по сверхнормат ТРЭ'!F23</f>
        <v>3118</v>
      </c>
      <c r="E27" s="99">
        <f t="shared" si="1"/>
        <v>571.1552399999999</v>
      </c>
      <c r="F27" s="35">
        <f>'[1]ВЭС'!E12</f>
        <v>4</v>
      </c>
      <c r="G27" s="35">
        <f>'[1]ВЭС'!F12</f>
        <v>1050</v>
      </c>
      <c r="H27" s="35">
        <f>'[1]ВЭС'!G12</f>
        <v>4</v>
      </c>
      <c r="I27" s="34">
        <f>'[1]ВЭС'!H12</f>
        <v>11.28</v>
      </c>
      <c r="J27" s="34">
        <f>'[1]ВЭС'!I12</f>
        <v>0.2</v>
      </c>
      <c r="K27" s="34">
        <f>'[1]ВЭС'!J12</f>
        <v>2.56</v>
      </c>
      <c r="L27" s="92">
        <f>'[1]ВЭС'!K12</f>
        <v>0.83</v>
      </c>
      <c r="M27" s="244">
        <f>'[3]Лист2'!H25</f>
        <v>8.468228571428572</v>
      </c>
      <c r="N27" s="34">
        <f>'[1]ВЭС'!M12</f>
        <v>3600</v>
      </c>
      <c r="O27" s="34">
        <f>'[1]ВЭС'!N12</f>
        <v>4</v>
      </c>
      <c r="P27" s="34">
        <f>'[1]ВЭС'!O12</f>
        <v>0.4</v>
      </c>
      <c r="Q27" s="34">
        <f>'[1]ВЭС'!P12</f>
        <v>11.3</v>
      </c>
      <c r="R27" s="34">
        <f>'[1]ВЭС'!Q12</f>
        <v>6</v>
      </c>
      <c r="S27" s="34">
        <f>'[1]ВЭС'!R12</f>
        <v>2.6</v>
      </c>
      <c r="T27" s="34">
        <f>'[1]ВЭС'!S12</f>
        <v>5</v>
      </c>
      <c r="U27" s="34" t="str">
        <f>'[1]ВЭС'!T12</f>
        <v>2800</v>
      </c>
      <c r="V27" s="34">
        <f>'[1]ВЭС'!U12</f>
        <v>0.4</v>
      </c>
      <c r="W27" s="34">
        <f>'[1]ВЭС'!V12</f>
        <v>22</v>
      </c>
      <c r="X27" s="34">
        <f>'[1]ВЭС'!W12</f>
        <v>6</v>
      </c>
      <c r="Y27" s="34">
        <f>'[1]ВЭС'!X12</f>
        <v>5</v>
      </c>
      <c r="Z27" s="34">
        <f>'[1]ВЭС'!Y12</f>
        <v>565</v>
      </c>
      <c r="AA27" s="34">
        <f>'[1]ВЭС'!Z12</f>
        <v>1130</v>
      </c>
      <c r="AB27" s="34">
        <f>'[1]ВЭС'!AA12</f>
        <v>10</v>
      </c>
      <c r="AC27" s="92">
        <f>SUM(Z27:AB27)</f>
        <v>1705</v>
      </c>
    </row>
    <row r="28" spans="1:59" ht="93" customHeight="1" thickBot="1">
      <c r="A28" s="366">
        <v>21</v>
      </c>
      <c r="B28" s="680" t="s">
        <v>534</v>
      </c>
      <c r="C28" s="681">
        <f>'Исходные по сверхнормат ТРЭ'!C24</f>
        <v>951706.08</v>
      </c>
      <c r="D28" s="681">
        <f>'Исходные по сверхнормат ТРЭ'!F24</f>
        <v>198474.344</v>
      </c>
      <c r="E28" s="682">
        <f aca="true" t="shared" si="3" ref="E28:AC28">SUM(E8:E27)</f>
        <v>36356.53033392</v>
      </c>
      <c r="F28" s="682">
        <f t="shared" si="3"/>
        <v>904</v>
      </c>
      <c r="G28" s="682">
        <f t="shared" si="3"/>
        <v>136735</v>
      </c>
      <c r="H28" s="682">
        <f t="shared" si="3"/>
        <v>1014</v>
      </c>
      <c r="I28" s="682">
        <f t="shared" si="3"/>
        <v>2839.9000000000005</v>
      </c>
      <c r="J28" s="682">
        <f t="shared" si="3"/>
        <v>249.53</v>
      </c>
      <c r="K28" s="682">
        <f t="shared" si="3"/>
        <v>470.12999999999994</v>
      </c>
      <c r="L28" s="683">
        <f t="shared" si="3"/>
        <v>388.195</v>
      </c>
      <c r="M28" s="684">
        <f t="shared" si="3"/>
        <v>997.1963428571428</v>
      </c>
      <c r="N28" s="682">
        <f t="shared" si="3"/>
        <v>200255</v>
      </c>
      <c r="O28" s="682">
        <f t="shared" si="3"/>
        <v>277</v>
      </c>
      <c r="P28" s="682">
        <f t="shared" si="3"/>
        <v>4.8</v>
      </c>
      <c r="Q28" s="682">
        <f t="shared" si="3"/>
        <v>538.4999999999999</v>
      </c>
      <c r="R28" s="682">
        <f t="shared" si="3"/>
        <v>96</v>
      </c>
      <c r="S28" s="682">
        <f t="shared" si="3"/>
        <v>211.90000000000003</v>
      </c>
      <c r="T28" s="682">
        <f t="shared" si="3"/>
        <v>374</v>
      </c>
      <c r="U28" s="682">
        <f>SUM(U8:U27)</f>
        <v>336583.2</v>
      </c>
      <c r="V28" s="682">
        <f t="shared" si="3"/>
        <v>39.79999999999998</v>
      </c>
      <c r="W28" s="682">
        <f t="shared" si="3"/>
        <v>666.6</v>
      </c>
      <c r="X28" s="682">
        <f t="shared" si="3"/>
        <v>108</v>
      </c>
      <c r="Y28" s="682">
        <f t="shared" si="3"/>
        <v>370.1</v>
      </c>
      <c r="Z28" s="682">
        <f t="shared" si="3"/>
        <v>93441.5</v>
      </c>
      <c r="AA28" s="682">
        <f t="shared" si="3"/>
        <v>225207</v>
      </c>
      <c r="AB28" s="682">
        <f t="shared" si="3"/>
        <v>1127.5</v>
      </c>
      <c r="AC28" s="683">
        <f t="shared" si="3"/>
        <v>319776</v>
      </c>
      <c r="AD28" s="36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</row>
    <row r="30" spans="2:3" ht="27">
      <c r="B30" s="713" t="s">
        <v>525</v>
      </c>
      <c r="C30" s="697"/>
    </row>
    <row r="31" spans="2:3" ht="153">
      <c r="B31" s="209" t="s">
        <v>540</v>
      </c>
      <c r="C31" s="242">
        <f>152.65*1.2</f>
        <v>183.18</v>
      </c>
    </row>
    <row r="44" ht="33">
      <c r="AC44" s="689"/>
    </row>
    <row r="45" spans="2:29" ht="52.5" customHeight="1" hidden="1">
      <c r="B45" s="96"/>
      <c r="C45" s="107"/>
      <c r="D45" s="34"/>
      <c r="E45" s="34"/>
      <c r="F45" s="34"/>
      <c r="G45" s="35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92">
        <f>SUM(Z45:AB45)</f>
        <v>0</v>
      </c>
    </row>
    <row r="46" spans="2:29" ht="52.5" customHeight="1" hidden="1">
      <c r="B46" s="96"/>
      <c r="C46" s="107"/>
      <c r="D46" s="34"/>
      <c r="E46" s="34"/>
      <c r="F46" s="34"/>
      <c r="G46" s="35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92">
        <f>SUM(Z46:AB46)</f>
        <v>0</v>
      </c>
    </row>
  </sheetData>
  <mergeCells count="22">
    <mergeCell ref="A4:A7"/>
    <mergeCell ref="AB4:AB6"/>
    <mergeCell ref="A2:U2"/>
    <mergeCell ref="B4:B7"/>
    <mergeCell ref="C4:C6"/>
    <mergeCell ref="D4:E6"/>
    <mergeCell ref="F4:F6"/>
    <mergeCell ref="G4:H6"/>
    <mergeCell ref="I4:L4"/>
    <mergeCell ref="M4:M5"/>
    <mergeCell ref="P6:S6"/>
    <mergeCell ref="N4:S5"/>
    <mergeCell ref="AC4:AC6"/>
    <mergeCell ref="T6:U6"/>
    <mergeCell ref="V6:Y6"/>
    <mergeCell ref="T4:Y5"/>
    <mergeCell ref="Z4:Z6"/>
    <mergeCell ref="AA4:AA6"/>
    <mergeCell ref="B30:C30"/>
    <mergeCell ref="I5:J5"/>
    <mergeCell ref="K5:L5"/>
    <mergeCell ref="N6:O6"/>
  </mergeCells>
  <printOptions horizontalCentered="1"/>
  <pageMargins left="1.1811023622047245" right="0" top="0.7874015748031497" bottom="0" header="0.5118110236220472" footer="0.5118110236220472"/>
  <pageSetup fitToHeight="1" fitToWidth="1" horizontalDpi="300" verticalDpi="300" orientation="landscape" paperSize="8" scale="1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view="pageBreakPreview" zoomScale="60" workbookViewId="0" topLeftCell="A1">
      <selection activeCell="E9" sqref="E9"/>
    </sheetView>
  </sheetViews>
  <sheetFormatPr defaultColWidth="9.00390625" defaultRowHeight="12.75"/>
  <cols>
    <col min="1" max="1" width="20.25390625" style="0" customWidth="1"/>
    <col min="2" max="2" width="17.00390625" style="0" customWidth="1"/>
    <col min="3" max="3" width="13.875" style="0" customWidth="1"/>
    <col min="4" max="4" width="20.00390625" style="0" customWidth="1"/>
    <col min="5" max="5" width="15.125" style="0" customWidth="1"/>
    <col min="6" max="6" width="20.00390625" style="0" customWidth="1"/>
    <col min="7" max="7" width="18.75390625" style="0" customWidth="1"/>
    <col min="8" max="8" width="23.375" style="0" customWidth="1"/>
  </cols>
  <sheetData>
    <row r="1" spans="1:8" ht="59.25" customHeight="1" thickBot="1">
      <c r="A1" s="674" t="s">
        <v>506</v>
      </c>
      <c r="B1" s="674"/>
      <c r="C1" s="674"/>
      <c r="D1" s="674"/>
      <c r="E1" s="674"/>
      <c r="F1" s="674"/>
      <c r="G1" s="674"/>
      <c r="H1" s="674"/>
    </row>
    <row r="2" spans="1:8" s="589" customFormat="1" ht="24" customHeight="1">
      <c r="A2" s="586" t="s">
        <v>473</v>
      </c>
      <c r="B2" s="587" t="s">
        <v>474</v>
      </c>
      <c r="C2" s="587" t="s">
        <v>475</v>
      </c>
      <c r="D2" s="587" t="s">
        <v>476</v>
      </c>
      <c r="E2" s="587" t="s">
        <v>477</v>
      </c>
      <c r="F2" s="587" t="s">
        <v>478</v>
      </c>
      <c r="G2" s="587" t="s">
        <v>479</v>
      </c>
      <c r="H2" s="588" t="s">
        <v>480</v>
      </c>
    </row>
    <row r="3" spans="1:8" s="585" customFormat="1" ht="13.5" thickBot="1">
      <c r="A3" s="582">
        <v>1</v>
      </c>
      <c r="B3" s="583">
        <v>2</v>
      </c>
      <c r="C3" s="583">
        <v>3</v>
      </c>
      <c r="D3" s="583">
        <v>4</v>
      </c>
      <c r="E3" s="583">
        <v>5</v>
      </c>
      <c r="F3" s="583">
        <v>6</v>
      </c>
      <c r="G3" s="583">
        <v>7</v>
      </c>
      <c r="H3" s="584">
        <v>8</v>
      </c>
    </row>
    <row r="4" spans="1:8" ht="35.25" customHeight="1">
      <c r="A4" s="601" t="s">
        <v>481</v>
      </c>
      <c r="B4" s="590">
        <v>8</v>
      </c>
      <c r="C4" s="590">
        <v>50474</v>
      </c>
      <c r="D4" s="591">
        <v>11.06</v>
      </c>
      <c r="E4" s="592">
        <f>D4*0.449</f>
        <v>4.965940000000001</v>
      </c>
      <c r="F4" s="592">
        <f>E4/0.86</f>
        <v>5.7743488372093035</v>
      </c>
      <c r="G4" s="592">
        <f>F4*24/7</f>
        <v>19.79776744186047</v>
      </c>
      <c r="H4" s="593">
        <f>C4*0.1/1000*24/7</f>
        <v>17.30537142857143</v>
      </c>
    </row>
    <row r="5" spans="1:8" ht="35.25" customHeight="1">
      <c r="A5" s="602" t="s">
        <v>482</v>
      </c>
      <c r="B5" s="594">
        <v>3</v>
      </c>
      <c r="C5" s="594">
        <v>67315</v>
      </c>
      <c r="D5" s="595">
        <v>5.65</v>
      </c>
      <c r="E5" s="596">
        <f aca="true" t="shared" si="0" ref="E5:E23">D5*0.449</f>
        <v>2.5368500000000003</v>
      </c>
      <c r="F5" s="596">
        <f aca="true" t="shared" si="1" ref="F5:F23">E5/0.86</f>
        <v>2.9498255813953493</v>
      </c>
      <c r="G5" s="596">
        <f aca="true" t="shared" si="2" ref="G5:G23">F5*24/7</f>
        <v>10.1136877076412</v>
      </c>
      <c r="H5" s="597">
        <f aca="true" t="shared" si="3" ref="H5:H23">C5*0.1/1000*24/7</f>
        <v>23.07942857142857</v>
      </c>
    </row>
    <row r="6" spans="1:8" ht="35.25" customHeight="1">
      <c r="A6" s="602" t="s">
        <v>483</v>
      </c>
      <c r="B6" s="594">
        <v>3</v>
      </c>
      <c r="C6" s="594">
        <v>19096</v>
      </c>
      <c r="D6" s="595">
        <v>3.37</v>
      </c>
      <c r="E6" s="596">
        <f t="shared" si="0"/>
        <v>1.51313</v>
      </c>
      <c r="F6" s="596">
        <f t="shared" si="1"/>
        <v>1.7594534883720931</v>
      </c>
      <c r="G6" s="596">
        <f t="shared" si="2"/>
        <v>6.03241196013289</v>
      </c>
      <c r="H6" s="597">
        <f t="shared" si="3"/>
        <v>6.547200000000001</v>
      </c>
    </row>
    <row r="7" spans="1:8" ht="35.25" customHeight="1">
      <c r="A7" s="602" t="s">
        <v>484</v>
      </c>
      <c r="B7" s="594">
        <v>16</v>
      </c>
      <c r="C7" s="594">
        <v>46925</v>
      </c>
      <c r="D7" s="595">
        <v>7.93</v>
      </c>
      <c r="E7" s="596">
        <f t="shared" si="0"/>
        <v>3.56057</v>
      </c>
      <c r="F7" s="596">
        <f t="shared" si="1"/>
        <v>4.140197674418604</v>
      </c>
      <c r="G7" s="596">
        <f t="shared" si="2"/>
        <v>14.1949634551495</v>
      </c>
      <c r="H7" s="597">
        <f t="shared" si="3"/>
        <v>16.08857142857143</v>
      </c>
    </row>
    <row r="8" spans="1:8" ht="35.25" customHeight="1">
      <c r="A8" s="602" t="s">
        <v>485</v>
      </c>
      <c r="B8" s="594">
        <v>1</v>
      </c>
      <c r="C8" s="594">
        <v>148074</v>
      </c>
      <c r="D8" s="595">
        <v>20</v>
      </c>
      <c r="E8" s="596">
        <f t="shared" si="0"/>
        <v>8.98</v>
      </c>
      <c r="F8" s="596">
        <f t="shared" si="1"/>
        <v>10.44186046511628</v>
      </c>
      <c r="G8" s="596">
        <f t="shared" si="2"/>
        <v>35.800664451827245</v>
      </c>
      <c r="H8" s="597">
        <f t="shared" si="3"/>
        <v>50.76822857142857</v>
      </c>
    </row>
    <row r="9" spans="1:8" ht="35.25" customHeight="1">
      <c r="A9" s="602" t="s">
        <v>486</v>
      </c>
      <c r="B9" s="594">
        <v>2</v>
      </c>
      <c r="C9" s="594">
        <v>4991</v>
      </c>
      <c r="D9" s="595">
        <v>0.61</v>
      </c>
      <c r="E9" s="596">
        <f t="shared" si="0"/>
        <v>0.27389</v>
      </c>
      <c r="F9" s="596">
        <f t="shared" si="1"/>
        <v>0.31847674418604655</v>
      </c>
      <c r="G9" s="596">
        <f t="shared" si="2"/>
        <v>1.091920265780731</v>
      </c>
      <c r="H9" s="597">
        <f t="shared" si="3"/>
        <v>1.7112</v>
      </c>
    </row>
    <row r="10" spans="1:8" ht="35.25" customHeight="1">
      <c r="A10" s="602" t="s">
        <v>487</v>
      </c>
      <c r="B10" s="594">
        <v>26</v>
      </c>
      <c r="C10" s="594">
        <v>449796</v>
      </c>
      <c r="D10" s="595">
        <v>69</v>
      </c>
      <c r="E10" s="596">
        <f t="shared" si="0"/>
        <v>30.981</v>
      </c>
      <c r="F10" s="596">
        <f t="shared" si="1"/>
        <v>36.02441860465117</v>
      </c>
      <c r="G10" s="596">
        <f t="shared" si="2"/>
        <v>123.51229235880399</v>
      </c>
      <c r="H10" s="597">
        <f t="shared" si="3"/>
        <v>154.21577142857146</v>
      </c>
    </row>
    <row r="11" spans="1:8" ht="35.25" customHeight="1">
      <c r="A11" s="602" t="s">
        <v>488</v>
      </c>
      <c r="B11" s="594">
        <v>1</v>
      </c>
      <c r="C11" s="594">
        <v>269330</v>
      </c>
      <c r="D11" s="595">
        <v>12.8</v>
      </c>
      <c r="E11" s="596">
        <f t="shared" si="0"/>
        <v>5.7472</v>
      </c>
      <c r="F11" s="596">
        <f t="shared" si="1"/>
        <v>6.682790697674419</v>
      </c>
      <c r="G11" s="596">
        <f t="shared" si="2"/>
        <v>22.912425249169438</v>
      </c>
      <c r="H11" s="597">
        <f t="shared" si="3"/>
        <v>92.34171428571429</v>
      </c>
    </row>
    <row r="12" spans="1:8" ht="35.25" customHeight="1">
      <c r="A12" s="602" t="s">
        <v>505</v>
      </c>
      <c r="B12" s="594"/>
      <c r="C12" s="594"/>
      <c r="D12" s="595"/>
      <c r="E12" s="596"/>
      <c r="F12" s="596"/>
      <c r="G12" s="596"/>
      <c r="H12" s="597"/>
    </row>
    <row r="13" spans="1:8" ht="35.25" customHeight="1">
      <c r="A13" s="602" t="s">
        <v>489</v>
      </c>
      <c r="B13" s="594">
        <v>4</v>
      </c>
      <c r="C13" s="594">
        <v>44973</v>
      </c>
      <c r="D13" s="595">
        <v>4.33</v>
      </c>
      <c r="E13" s="596">
        <f t="shared" si="0"/>
        <v>1.9441700000000002</v>
      </c>
      <c r="F13" s="596">
        <f t="shared" si="1"/>
        <v>2.260662790697675</v>
      </c>
      <c r="G13" s="596">
        <f t="shared" si="2"/>
        <v>7.7508438538206</v>
      </c>
      <c r="H13" s="597">
        <f t="shared" si="3"/>
        <v>15.419314285714288</v>
      </c>
    </row>
    <row r="14" spans="1:8" ht="35.25" customHeight="1">
      <c r="A14" s="602" t="s">
        <v>490</v>
      </c>
      <c r="B14" s="594">
        <v>4</v>
      </c>
      <c r="C14" s="594">
        <v>8846</v>
      </c>
      <c r="D14" s="595">
        <v>0.38</v>
      </c>
      <c r="E14" s="596">
        <f t="shared" si="0"/>
        <v>0.17062</v>
      </c>
      <c r="F14" s="596">
        <f t="shared" si="1"/>
        <v>0.1983953488372093</v>
      </c>
      <c r="G14" s="596">
        <f t="shared" si="2"/>
        <v>0.6802126245847175</v>
      </c>
      <c r="H14" s="597">
        <f t="shared" si="3"/>
        <v>3.0329142857142863</v>
      </c>
    </row>
    <row r="15" spans="1:8" ht="35.25" customHeight="1">
      <c r="A15" s="602" t="s">
        <v>491</v>
      </c>
      <c r="B15" s="594">
        <v>3</v>
      </c>
      <c r="C15" s="594">
        <v>8462</v>
      </c>
      <c r="D15" s="595">
        <v>0.44</v>
      </c>
      <c r="E15" s="596">
        <f t="shared" si="0"/>
        <v>0.19756</v>
      </c>
      <c r="F15" s="596">
        <f t="shared" si="1"/>
        <v>0.22972093023255816</v>
      </c>
      <c r="G15" s="596">
        <f t="shared" si="2"/>
        <v>0.7876146179401994</v>
      </c>
      <c r="H15" s="597">
        <f t="shared" si="3"/>
        <v>2.901257142857143</v>
      </c>
    </row>
    <row r="16" spans="1:8" ht="35.25" customHeight="1">
      <c r="A16" s="602" t="s">
        <v>264</v>
      </c>
      <c r="B16" s="594">
        <v>2</v>
      </c>
      <c r="C16" s="594">
        <v>9886</v>
      </c>
      <c r="D16" s="595">
        <v>0.24</v>
      </c>
      <c r="E16" s="596">
        <f t="shared" si="0"/>
        <v>0.10776</v>
      </c>
      <c r="F16" s="596">
        <f t="shared" si="1"/>
        <v>0.12530232558139534</v>
      </c>
      <c r="G16" s="596">
        <f t="shared" si="2"/>
        <v>0.4296079734219269</v>
      </c>
      <c r="H16" s="597">
        <f t="shared" si="3"/>
        <v>3.3894857142857147</v>
      </c>
    </row>
    <row r="17" spans="1:8" ht="35.25" customHeight="1">
      <c r="A17" s="602" t="s">
        <v>492</v>
      </c>
      <c r="B17" s="594">
        <v>6</v>
      </c>
      <c r="C17" s="594">
        <v>131986</v>
      </c>
      <c r="D17" s="595">
        <v>3.25</v>
      </c>
      <c r="E17" s="596">
        <f t="shared" si="0"/>
        <v>1.45925</v>
      </c>
      <c r="F17" s="596">
        <f t="shared" si="1"/>
        <v>1.6968023255813953</v>
      </c>
      <c r="G17" s="596">
        <f t="shared" si="2"/>
        <v>5.817607973421927</v>
      </c>
      <c r="H17" s="597">
        <f t="shared" si="3"/>
        <v>45.252342857142864</v>
      </c>
    </row>
    <row r="18" spans="1:8" ht="35.25" customHeight="1">
      <c r="A18" s="602" t="s">
        <v>493</v>
      </c>
      <c r="B18" s="594">
        <v>2</v>
      </c>
      <c r="C18" s="594">
        <v>6918</v>
      </c>
      <c r="D18" s="595">
        <v>1</v>
      </c>
      <c r="E18" s="596">
        <f t="shared" si="0"/>
        <v>0.449</v>
      </c>
      <c r="F18" s="596">
        <f t="shared" si="1"/>
        <v>0.522093023255814</v>
      </c>
      <c r="G18" s="596">
        <f t="shared" si="2"/>
        <v>1.790033222591362</v>
      </c>
      <c r="H18" s="597">
        <f t="shared" si="3"/>
        <v>2.3718857142857144</v>
      </c>
    </row>
    <row r="19" spans="1:8" ht="35.25" customHeight="1">
      <c r="A19" s="602" t="s">
        <v>494</v>
      </c>
      <c r="B19" s="594">
        <v>13</v>
      </c>
      <c r="C19" s="594">
        <v>608552</v>
      </c>
      <c r="D19" s="595">
        <v>74.37</v>
      </c>
      <c r="E19" s="596">
        <f t="shared" si="0"/>
        <v>33.39213</v>
      </c>
      <c r="F19" s="596">
        <f t="shared" si="1"/>
        <v>38.82805813953489</v>
      </c>
      <c r="G19" s="596">
        <f t="shared" si="2"/>
        <v>133.12477076411963</v>
      </c>
      <c r="H19" s="597">
        <f t="shared" si="3"/>
        <v>208.64640000000003</v>
      </c>
    </row>
    <row r="20" spans="1:8" ht="35.25" customHeight="1">
      <c r="A20" s="602" t="s">
        <v>495</v>
      </c>
      <c r="B20" s="594">
        <v>3</v>
      </c>
      <c r="C20" s="594">
        <v>118045</v>
      </c>
      <c r="D20" s="595">
        <v>21.5</v>
      </c>
      <c r="E20" s="596">
        <f t="shared" si="0"/>
        <v>9.653500000000001</v>
      </c>
      <c r="F20" s="596">
        <f t="shared" si="1"/>
        <v>11.225000000000001</v>
      </c>
      <c r="G20" s="596">
        <f t="shared" si="2"/>
        <v>38.48571428571429</v>
      </c>
      <c r="H20" s="597">
        <f t="shared" si="3"/>
        <v>40.47257142857143</v>
      </c>
    </row>
    <row r="21" spans="1:8" ht="35.25" customHeight="1">
      <c r="A21" s="602" t="s">
        <v>496</v>
      </c>
      <c r="B21" s="594">
        <v>7</v>
      </c>
      <c r="C21" s="594">
        <v>279704</v>
      </c>
      <c r="D21" s="595">
        <v>33.64</v>
      </c>
      <c r="E21" s="596">
        <f t="shared" si="0"/>
        <v>15.10436</v>
      </c>
      <c r="F21" s="596">
        <f t="shared" si="1"/>
        <v>17.563209302325582</v>
      </c>
      <c r="G21" s="596">
        <f t="shared" si="2"/>
        <v>60.21671760797342</v>
      </c>
      <c r="H21" s="597">
        <f t="shared" si="3"/>
        <v>95.8985142857143</v>
      </c>
    </row>
    <row r="22" spans="1:8" ht="35.25" customHeight="1">
      <c r="A22" s="602" t="s">
        <v>497</v>
      </c>
      <c r="B22" s="594">
        <v>5</v>
      </c>
      <c r="C22" s="594">
        <v>258130</v>
      </c>
      <c r="D22" s="595">
        <v>26.64</v>
      </c>
      <c r="E22" s="596">
        <f t="shared" si="0"/>
        <v>11.96136</v>
      </c>
      <c r="F22" s="596">
        <f t="shared" si="1"/>
        <v>13.908558139534884</v>
      </c>
      <c r="G22" s="596">
        <f t="shared" si="2"/>
        <v>47.68648504983389</v>
      </c>
      <c r="H22" s="597">
        <f t="shared" si="3"/>
        <v>88.50171428571427</v>
      </c>
    </row>
    <row r="23" spans="1:8" ht="35.25" customHeight="1">
      <c r="A23" s="602" t="s">
        <v>498</v>
      </c>
      <c r="B23" s="594">
        <v>1</v>
      </c>
      <c r="C23" s="594">
        <v>24699</v>
      </c>
      <c r="D23" s="595">
        <v>5.6</v>
      </c>
      <c r="E23" s="596">
        <f t="shared" si="0"/>
        <v>2.5143999999999997</v>
      </c>
      <c r="F23" s="596">
        <f t="shared" si="1"/>
        <v>2.923720930232558</v>
      </c>
      <c r="G23" s="596">
        <f t="shared" si="2"/>
        <v>10.024186046511627</v>
      </c>
      <c r="H23" s="597">
        <f t="shared" si="3"/>
        <v>8.468228571428572</v>
      </c>
    </row>
    <row r="24" spans="1:8" s="512" customFormat="1" ht="35.25" customHeight="1" thickBot="1">
      <c r="A24" s="603" t="s">
        <v>507</v>
      </c>
      <c r="B24" s="598">
        <f aca="true" t="shared" si="4" ref="B24:H24">SUM(B4:B23)</f>
        <v>110</v>
      </c>
      <c r="C24" s="598">
        <f t="shared" si="4"/>
        <v>2556202</v>
      </c>
      <c r="D24" s="599">
        <f t="shared" si="4"/>
        <v>301.81000000000006</v>
      </c>
      <c r="E24" s="599">
        <f t="shared" si="4"/>
        <v>135.51269</v>
      </c>
      <c r="F24" s="599">
        <f t="shared" si="4"/>
        <v>157.57289534883725</v>
      </c>
      <c r="G24" s="599">
        <f t="shared" si="4"/>
        <v>540.2499269102991</v>
      </c>
      <c r="H24" s="600">
        <f t="shared" si="4"/>
        <v>876.4121142857144</v>
      </c>
    </row>
    <row r="26" spans="1:4" ht="15.75">
      <c r="A26" s="604" t="s">
        <v>499</v>
      </c>
      <c r="B26" s="604" t="s">
        <v>500</v>
      </c>
      <c r="C26" s="604"/>
      <c r="D26" s="605"/>
    </row>
    <row r="27" spans="1:4" ht="15.75">
      <c r="A27" s="604"/>
      <c r="B27" s="604" t="s">
        <v>501</v>
      </c>
      <c r="C27" s="604"/>
      <c r="D27" s="605"/>
    </row>
    <row r="28" spans="1:4" ht="15.75">
      <c r="A28" s="604"/>
      <c r="B28" s="604" t="s">
        <v>502</v>
      </c>
      <c r="C28" s="604"/>
      <c r="D28" s="605"/>
    </row>
    <row r="29" spans="1:4" ht="15.75">
      <c r="A29" s="604"/>
      <c r="B29" s="604" t="s">
        <v>503</v>
      </c>
      <c r="C29" s="604"/>
      <c r="D29" s="605"/>
    </row>
    <row r="30" spans="1:4" ht="18.75" customHeight="1">
      <c r="A30" s="604"/>
      <c r="B30" s="604" t="s">
        <v>504</v>
      </c>
      <c r="C30" s="604"/>
      <c r="D30" s="605"/>
    </row>
  </sheetData>
  <mergeCells count="1">
    <mergeCell ref="A1:H1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90"/>
  <sheetViews>
    <sheetView view="pageBreakPreview" zoomScale="50" zoomScaleNormal="40" zoomScaleSheetLayoutView="50" workbookViewId="0" topLeftCell="H1">
      <selection activeCell="M34" sqref="M34"/>
    </sheetView>
  </sheetViews>
  <sheetFormatPr defaultColWidth="9.00390625" defaultRowHeight="12.75"/>
  <cols>
    <col min="1" max="1" width="14.125" style="189" bestFit="1" customWidth="1"/>
    <col min="2" max="2" width="47.00390625" style="189" customWidth="1"/>
    <col min="3" max="3" width="42.375" style="189" customWidth="1"/>
    <col min="4" max="4" width="24.125" style="190" customWidth="1"/>
    <col min="5" max="5" width="23.25390625" style="238" customWidth="1"/>
    <col min="6" max="6" width="38.75390625" style="238" hidden="1" customWidth="1"/>
    <col min="7" max="7" width="24.25390625" style="184" customWidth="1"/>
    <col min="8" max="8" width="24.625" style="189" customWidth="1"/>
    <col min="9" max="9" width="28.125" style="236" customWidth="1"/>
    <col min="10" max="10" width="33.25390625" style="236" customWidth="1"/>
    <col min="11" max="13" width="29.25390625" style="236" customWidth="1"/>
    <col min="14" max="14" width="28.125" style="236" customWidth="1"/>
    <col min="15" max="15" width="23.125" style="190" customWidth="1"/>
    <col min="16" max="16" width="24.25390625" style="190" hidden="1" customWidth="1"/>
    <col min="17" max="17" width="26.75390625" style="189" customWidth="1"/>
    <col min="18" max="18" width="31.375" style="190" customWidth="1"/>
    <col min="19" max="19" width="22.00390625" style="252" hidden="1" customWidth="1"/>
    <col min="20" max="20" width="28.75390625" style="252" hidden="1" customWidth="1"/>
    <col min="21" max="21" width="25.125" style="252" hidden="1" customWidth="1"/>
    <col min="22" max="22" width="26.375" style="191" hidden="1" customWidth="1"/>
    <col min="23" max="23" width="26.75390625" style="190" customWidth="1"/>
    <col min="24" max="24" width="21.25390625" style="190" hidden="1" customWidth="1"/>
    <col min="25" max="25" width="32.375" style="190" customWidth="1"/>
    <col min="26" max="16384" width="9.125" style="189" customWidth="1"/>
  </cols>
  <sheetData>
    <row r="1" spans="1:25" ht="72.75" customHeight="1" thickBot="1">
      <c r="A1" s="801" t="s">
        <v>467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1"/>
      <c r="N1" s="801"/>
      <c r="O1" s="801"/>
      <c r="P1" s="801"/>
      <c r="Q1" s="801"/>
      <c r="R1" s="801"/>
      <c r="S1" s="801"/>
      <c r="T1" s="801"/>
      <c r="U1" s="801"/>
      <c r="V1" s="801"/>
      <c r="W1" s="801"/>
      <c r="X1" s="801"/>
      <c r="Y1" s="801"/>
    </row>
    <row r="2" spans="1:25" ht="27" customHeight="1">
      <c r="A2" s="782" t="s">
        <v>459</v>
      </c>
      <c r="B2" s="246" t="s">
        <v>508</v>
      </c>
      <c r="C2" s="790" t="s">
        <v>153</v>
      </c>
      <c r="D2" s="790"/>
      <c r="E2" s="790"/>
      <c r="F2" s="790"/>
      <c r="G2" s="790" t="s">
        <v>152</v>
      </c>
      <c r="H2" s="790"/>
      <c r="I2" s="790"/>
      <c r="J2" s="856" t="s">
        <v>545</v>
      </c>
      <c r="K2" s="857"/>
      <c r="L2" s="786" t="s">
        <v>556</v>
      </c>
      <c r="M2" s="850" t="s">
        <v>557</v>
      </c>
      <c r="N2" s="853" t="s">
        <v>549</v>
      </c>
      <c r="O2" s="790" t="s">
        <v>558</v>
      </c>
      <c r="P2" s="790"/>
      <c r="Q2" s="790"/>
      <c r="R2" s="790"/>
      <c r="S2" s="779" t="s">
        <v>160</v>
      </c>
      <c r="T2" s="779" t="s">
        <v>161</v>
      </c>
      <c r="U2" s="779" t="s">
        <v>162</v>
      </c>
      <c r="V2" s="779" t="s">
        <v>405</v>
      </c>
      <c r="W2" s="795" t="s">
        <v>554</v>
      </c>
      <c r="X2" s="795"/>
      <c r="Y2" s="796"/>
    </row>
    <row r="3" spans="1:25" ht="59.25" customHeight="1">
      <c r="A3" s="783"/>
      <c r="B3" s="39" t="s">
        <v>509</v>
      </c>
      <c r="C3" s="770"/>
      <c r="D3" s="770"/>
      <c r="E3" s="770"/>
      <c r="F3" s="770"/>
      <c r="G3" s="770"/>
      <c r="H3" s="770"/>
      <c r="I3" s="770"/>
      <c r="J3" s="858"/>
      <c r="K3" s="859"/>
      <c r="L3" s="787"/>
      <c r="M3" s="851"/>
      <c r="N3" s="854"/>
      <c r="O3" s="770"/>
      <c r="P3" s="770"/>
      <c r="Q3" s="770"/>
      <c r="R3" s="770"/>
      <c r="S3" s="780"/>
      <c r="T3" s="780"/>
      <c r="U3" s="780"/>
      <c r="V3" s="780"/>
      <c r="W3" s="797"/>
      <c r="X3" s="797"/>
      <c r="Y3" s="798"/>
    </row>
    <row r="4" spans="1:25" ht="25.5" customHeight="1">
      <c r="A4" s="783"/>
      <c r="B4" s="770" t="s">
        <v>130</v>
      </c>
      <c r="C4" s="770" t="s">
        <v>510</v>
      </c>
      <c r="D4" s="802" t="s">
        <v>546</v>
      </c>
      <c r="E4" s="797" t="s">
        <v>547</v>
      </c>
      <c r="F4" s="797"/>
      <c r="G4" s="805" t="s">
        <v>542</v>
      </c>
      <c r="H4" s="805" t="s">
        <v>543</v>
      </c>
      <c r="I4" s="805" t="s">
        <v>541</v>
      </c>
      <c r="J4" s="848" t="s">
        <v>548</v>
      </c>
      <c r="K4" s="848" t="s">
        <v>544</v>
      </c>
      <c r="L4" s="787"/>
      <c r="M4" s="851"/>
      <c r="N4" s="854"/>
      <c r="O4" s="800" t="s">
        <v>550</v>
      </c>
      <c r="P4" s="803" t="s">
        <v>159</v>
      </c>
      <c r="Q4" s="788" t="s">
        <v>551</v>
      </c>
      <c r="R4" s="789" t="s">
        <v>552</v>
      </c>
      <c r="S4" s="780"/>
      <c r="T4" s="780"/>
      <c r="U4" s="780"/>
      <c r="V4" s="780"/>
      <c r="W4" s="800" t="s">
        <v>555</v>
      </c>
      <c r="X4" s="799" t="s">
        <v>149</v>
      </c>
      <c r="Y4" s="794" t="s">
        <v>150</v>
      </c>
    </row>
    <row r="5" spans="1:25" ht="154.5" customHeight="1">
      <c r="A5" s="783"/>
      <c r="B5" s="770"/>
      <c r="C5" s="770"/>
      <c r="D5" s="802"/>
      <c r="E5" s="797"/>
      <c r="F5" s="797"/>
      <c r="G5" s="847"/>
      <c r="H5" s="847"/>
      <c r="I5" s="847"/>
      <c r="J5" s="849"/>
      <c r="K5" s="860"/>
      <c r="L5" s="787"/>
      <c r="M5" s="852"/>
      <c r="N5" s="855"/>
      <c r="O5" s="800"/>
      <c r="P5" s="804"/>
      <c r="Q5" s="788"/>
      <c r="R5" s="789"/>
      <c r="S5" s="781"/>
      <c r="T5" s="781"/>
      <c r="U5" s="781"/>
      <c r="V5" s="781"/>
      <c r="W5" s="800"/>
      <c r="X5" s="799"/>
      <c r="Y5" s="794"/>
    </row>
    <row r="6" spans="1:25" ht="26.25" thickBot="1">
      <c r="A6" s="784"/>
      <c r="B6" s="41">
        <v>1</v>
      </c>
      <c r="C6" s="41">
        <v>2</v>
      </c>
      <c r="D6" s="41">
        <v>3</v>
      </c>
      <c r="E6" s="230">
        <v>4</v>
      </c>
      <c r="F6" s="230">
        <v>5</v>
      </c>
      <c r="G6" s="230">
        <v>6</v>
      </c>
      <c r="H6" s="41">
        <v>7</v>
      </c>
      <c r="I6" s="41">
        <v>8</v>
      </c>
      <c r="J6" s="399"/>
      <c r="K6" s="399"/>
      <c r="L6" s="41"/>
      <c r="M6" s="41"/>
      <c r="N6" s="41"/>
      <c r="O6" s="374">
        <v>9</v>
      </c>
      <c r="P6" s="170">
        <v>10</v>
      </c>
      <c r="Q6" s="41"/>
      <c r="R6" s="383"/>
      <c r="S6" s="41"/>
      <c r="T6" s="237"/>
      <c r="U6" s="41"/>
      <c r="V6" s="41"/>
      <c r="W6" s="374"/>
      <c r="X6" s="41"/>
      <c r="Y6" s="391"/>
    </row>
    <row r="7" spans="1:25" ht="49.5" customHeight="1">
      <c r="A7" s="161"/>
      <c r="B7" s="176" t="s">
        <v>518</v>
      </c>
      <c r="C7" s="171"/>
      <c r="D7" s="76"/>
      <c r="E7" s="76"/>
      <c r="F7" s="76"/>
      <c r="G7" s="171"/>
      <c r="H7" s="171"/>
      <c r="I7" s="176"/>
      <c r="J7" s="400"/>
      <c r="K7" s="401"/>
      <c r="L7" s="368"/>
      <c r="M7" s="177"/>
      <c r="N7" s="177"/>
      <c r="O7" s="375"/>
      <c r="P7" s="76"/>
      <c r="Q7" s="171"/>
      <c r="R7" s="384"/>
      <c r="V7" s="174"/>
      <c r="W7" s="375"/>
      <c r="X7" s="76"/>
      <c r="Y7" s="392"/>
    </row>
    <row r="8" spans="1:25" ht="49.5" customHeight="1">
      <c r="A8" s="178">
        <f>'исх.данные'!A7</f>
        <v>1</v>
      </c>
      <c r="B8" s="22" t="s">
        <v>519</v>
      </c>
      <c r="C8" s="22" t="s">
        <v>103</v>
      </c>
      <c r="D8" s="811">
        <f>SUM(E8,E9)</f>
        <v>4.45</v>
      </c>
      <c r="E8" s="42">
        <v>2.54</v>
      </c>
      <c r="F8" s="42">
        <f>30*0.45</f>
        <v>13.5</v>
      </c>
      <c r="G8" s="22">
        <f>'исх.данные'!I7</f>
        <v>15433</v>
      </c>
      <c r="H8" s="22"/>
      <c r="I8" s="39">
        <f>SUM(G8+H8)</f>
        <v>15433</v>
      </c>
      <c r="J8" s="402">
        <f>30*0.45</f>
        <v>13.5</v>
      </c>
      <c r="K8" s="675">
        <v>13350</v>
      </c>
      <c r="L8" s="765" t="s">
        <v>131</v>
      </c>
      <c r="M8" s="205">
        <f>K8/I16</f>
        <v>0.26449261005666286</v>
      </c>
      <c r="N8" s="762">
        <f>SUM(K8*0.05)</f>
        <v>667.5</v>
      </c>
      <c r="O8" s="376">
        <f>'рабочая не печать '!K7</f>
        <v>0.5</v>
      </c>
      <c r="P8" s="42"/>
      <c r="Q8" s="22">
        <v>50</v>
      </c>
      <c r="R8" s="385">
        <f>'рабочая не печать '!N7</f>
        <v>54</v>
      </c>
      <c r="V8" s="775">
        <v>8.845</v>
      </c>
      <c r="W8" s="375">
        <v>0</v>
      </c>
      <c r="X8" s="76">
        <f aca="true" t="shared" si="0" ref="X8:X15">P8</f>
        <v>0</v>
      </c>
      <c r="Y8" s="393">
        <v>0</v>
      </c>
    </row>
    <row r="9" spans="1:25" ht="63" customHeight="1">
      <c r="A9" s="178">
        <f>'исх.данные'!A8</f>
        <v>2</v>
      </c>
      <c r="B9" s="22" t="s">
        <v>519</v>
      </c>
      <c r="C9" s="22" t="s">
        <v>104</v>
      </c>
      <c r="D9" s="812"/>
      <c r="E9" s="42">
        <v>1.91</v>
      </c>
      <c r="F9" s="42">
        <f>30*0.55</f>
        <v>16.5</v>
      </c>
      <c r="G9" s="22">
        <f>'исх.данные'!I8</f>
        <v>10295</v>
      </c>
      <c r="H9" s="22"/>
      <c r="I9" s="39">
        <f aca="true" t="shared" si="1" ref="I9:I15">SUM(G9+H9)</f>
        <v>10295</v>
      </c>
      <c r="J9" s="402">
        <f>30*0.55</f>
        <v>16.5</v>
      </c>
      <c r="K9" s="760"/>
      <c r="L9" s="766"/>
      <c r="M9" s="205">
        <f>M8</f>
        <v>0.26449261005666286</v>
      </c>
      <c r="N9" s="763"/>
      <c r="O9" s="376">
        <f>'рабочая не печать '!K8</f>
        <v>0.69</v>
      </c>
      <c r="P9" s="42"/>
      <c r="Q9" s="22">
        <f>'рабочая не печать '!M8</f>
        <v>50</v>
      </c>
      <c r="R9" s="385">
        <f>'рабочая не печать '!N8</f>
        <v>66</v>
      </c>
      <c r="V9" s="776"/>
      <c r="W9" s="375">
        <f>O9</f>
        <v>0.69</v>
      </c>
      <c r="X9" s="76">
        <f t="shared" si="0"/>
        <v>0</v>
      </c>
      <c r="Y9" s="393">
        <v>0</v>
      </c>
    </row>
    <row r="10" spans="1:25" ht="49.5" customHeight="1">
      <c r="A10" s="178">
        <f>'исх.данные'!A9</f>
        <v>3</v>
      </c>
      <c r="B10" s="22" t="s">
        <v>612</v>
      </c>
      <c r="C10" s="22" t="s">
        <v>767</v>
      </c>
      <c r="D10" s="42">
        <v>0.85</v>
      </c>
      <c r="E10" s="42">
        <v>0.85</v>
      </c>
      <c r="F10" s="42">
        <v>30</v>
      </c>
      <c r="G10" s="22">
        <f>'исх.данные'!I9</f>
        <v>2647</v>
      </c>
      <c r="H10" s="22"/>
      <c r="I10" s="39">
        <f t="shared" si="1"/>
        <v>2647</v>
      </c>
      <c r="J10" s="402">
        <v>30</v>
      </c>
      <c r="K10" s="760"/>
      <c r="L10" s="766"/>
      <c r="M10" s="205">
        <f aca="true" t="shared" si="2" ref="M10:M15">M9</f>
        <v>0.26449261005666286</v>
      </c>
      <c r="N10" s="763"/>
      <c r="O10" s="376">
        <f>'рабочая не печать '!K9</f>
        <v>0.11</v>
      </c>
      <c r="P10" s="42"/>
      <c r="Q10" s="22">
        <v>50</v>
      </c>
      <c r="R10" s="385">
        <v>20</v>
      </c>
      <c r="V10" s="776"/>
      <c r="W10" s="375">
        <v>0</v>
      </c>
      <c r="X10" s="76">
        <f t="shared" si="0"/>
        <v>0</v>
      </c>
      <c r="Y10" s="393">
        <v>0</v>
      </c>
    </row>
    <row r="11" spans="1:25" ht="49.5" customHeight="1">
      <c r="A11" s="178">
        <f>'исх.данные'!A10</f>
        <v>4</v>
      </c>
      <c r="B11" s="22" t="s">
        <v>613</v>
      </c>
      <c r="C11" s="22" t="s">
        <v>105</v>
      </c>
      <c r="D11" s="42">
        <v>1.12</v>
      </c>
      <c r="E11" s="42">
        <v>1.12</v>
      </c>
      <c r="F11" s="42">
        <v>30</v>
      </c>
      <c r="G11" s="22">
        <f>'исх.данные'!I10</f>
        <v>5036</v>
      </c>
      <c r="H11" s="22"/>
      <c r="I11" s="39">
        <f t="shared" si="1"/>
        <v>5036</v>
      </c>
      <c r="J11" s="402">
        <v>30</v>
      </c>
      <c r="K11" s="760"/>
      <c r="L11" s="766"/>
      <c r="M11" s="205">
        <f t="shared" si="2"/>
        <v>0.26449261005666286</v>
      </c>
      <c r="N11" s="763"/>
      <c r="O11" s="376">
        <f>'рабочая не печать '!K10</f>
        <v>0.26</v>
      </c>
      <c r="P11" s="42"/>
      <c r="Q11" s="22">
        <v>50</v>
      </c>
      <c r="R11" s="385">
        <v>30</v>
      </c>
      <c r="V11" s="776"/>
      <c r="W11" s="375">
        <v>0</v>
      </c>
      <c r="X11" s="76">
        <f t="shared" si="0"/>
        <v>0</v>
      </c>
      <c r="Y11" s="393">
        <v>0</v>
      </c>
    </row>
    <row r="12" spans="1:25" ht="49.5" customHeight="1">
      <c r="A12" s="178">
        <f>'исх.данные'!A11</f>
        <v>5</v>
      </c>
      <c r="B12" s="22" t="s">
        <v>614</v>
      </c>
      <c r="C12" s="22" t="s">
        <v>688</v>
      </c>
      <c r="D12" s="42">
        <v>1.12</v>
      </c>
      <c r="E12" s="42">
        <v>1.12</v>
      </c>
      <c r="F12" s="42">
        <f>E12*'рабочая не печать '!$D$63</f>
        <v>236.73542565323027</v>
      </c>
      <c r="G12" s="22">
        <f>'исх.данные'!I11</f>
        <v>6705</v>
      </c>
      <c r="H12" s="22"/>
      <c r="I12" s="39">
        <f t="shared" si="1"/>
        <v>6705</v>
      </c>
      <c r="J12" s="402">
        <v>236.74</v>
      </c>
      <c r="K12" s="760"/>
      <c r="L12" s="766"/>
      <c r="M12" s="205">
        <f t="shared" si="2"/>
        <v>0.26449261005666286</v>
      </c>
      <c r="N12" s="763"/>
      <c r="O12" s="376">
        <f>'рабочая не печать '!$K$63</f>
        <v>2.2303703703703697</v>
      </c>
      <c r="P12" s="42"/>
      <c r="Q12" s="22">
        <f>'рабочая не печать '!$M$61</f>
        <v>51.25925925925926</v>
      </c>
      <c r="R12" s="385">
        <f>O12*'рабочая не печать '!$N$63</f>
        <v>209.48148148148147</v>
      </c>
      <c r="V12" s="776"/>
      <c r="W12" s="375">
        <v>0</v>
      </c>
      <c r="X12" s="76">
        <f t="shared" si="0"/>
        <v>0</v>
      </c>
      <c r="Y12" s="393">
        <v>0</v>
      </c>
    </row>
    <row r="13" spans="1:25" ht="49.5" customHeight="1">
      <c r="A13" s="178">
        <f>'исх.данные'!A12</f>
        <v>6</v>
      </c>
      <c r="B13" s="22" t="s">
        <v>616</v>
      </c>
      <c r="C13" s="22" t="s">
        <v>689</v>
      </c>
      <c r="D13" s="42">
        <v>1.1</v>
      </c>
      <c r="E13" s="42">
        <v>1.1</v>
      </c>
      <c r="F13" s="42">
        <f>E13*'рабочая не печать '!$D$63</f>
        <v>232.508007337994</v>
      </c>
      <c r="G13" s="22"/>
      <c r="H13" s="22">
        <f>'исх.данные'!L12</f>
        <v>3060</v>
      </c>
      <c r="I13" s="39">
        <f t="shared" si="1"/>
        <v>3060</v>
      </c>
      <c r="J13" s="402">
        <v>232.51</v>
      </c>
      <c r="K13" s="760"/>
      <c r="L13" s="766"/>
      <c r="M13" s="205">
        <f t="shared" si="2"/>
        <v>0.26449261005666286</v>
      </c>
      <c r="N13" s="763"/>
      <c r="O13" s="376">
        <f>'рабочая не печать '!$K$63</f>
        <v>2.2303703703703697</v>
      </c>
      <c r="P13" s="42"/>
      <c r="Q13" s="22">
        <f>'рабочая не печать '!$M$61</f>
        <v>51.25925925925926</v>
      </c>
      <c r="R13" s="385">
        <f>O13*'рабочая не печать '!$N$63</f>
        <v>209.48148148148147</v>
      </c>
      <c r="V13" s="776"/>
      <c r="W13" s="375">
        <v>0</v>
      </c>
      <c r="X13" s="76">
        <f t="shared" si="0"/>
        <v>0</v>
      </c>
      <c r="Y13" s="393">
        <v>0</v>
      </c>
    </row>
    <row r="14" spans="1:25" ht="49.5" customHeight="1">
      <c r="A14" s="178">
        <f>'исх.данные'!A13</f>
        <v>7</v>
      </c>
      <c r="B14" s="22" t="s">
        <v>621</v>
      </c>
      <c r="C14" s="22" t="s">
        <v>688</v>
      </c>
      <c r="D14" s="42">
        <v>1.1</v>
      </c>
      <c r="E14" s="42">
        <v>1.1</v>
      </c>
      <c r="F14" s="42">
        <f>E14*'рабочая не печать '!$D$63</f>
        <v>232.508007337994</v>
      </c>
      <c r="G14" s="22"/>
      <c r="H14" s="22">
        <f>'исх.данные'!L13</f>
        <v>2200</v>
      </c>
      <c r="I14" s="39">
        <f t="shared" si="1"/>
        <v>2200</v>
      </c>
      <c r="J14" s="402">
        <v>232.51</v>
      </c>
      <c r="K14" s="760"/>
      <c r="L14" s="766"/>
      <c r="M14" s="205">
        <f t="shared" si="2"/>
        <v>0.26449261005666286</v>
      </c>
      <c r="N14" s="763"/>
      <c r="O14" s="376">
        <f>'рабочая не печать '!$K$63</f>
        <v>2.2303703703703697</v>
      </c>
      <c r="P14" s="42"/>
      <c r="Q14" s="22">
        <f>'рабочая не печать '!$M$61</f>
        <v>51.25925925925926</v>
      </c>
      <c r="R14" s="385">
        <f>O14*'рабочая не печать '!$N$63</f>
        <v>209.48148148148147</v>
      </c>
      <c r="V14" s="776"/>
      <c r="W14" s="375">
        <v>0</v>
      </c>
      <c r="X14" s="76">
        <f t="shared" si="0"/>
        <v>0</v>
      </c>
      <c r="Y14" s="393">
        <v>0</v>
      </c>
    </row>
    <row r="15" spans="1:25" ht="49.5" customHeight="1" thickBot="1">
      <c r="A15" s="173">
        <f>'исх.данные'!A14</f>
        <v>8</v>
      </c>
      <c r="B15" s="47" t="s">
        <v>618</v>
      </c>
      <c r="C15" s="47" t="s">
        <v>689</v>
      </c>
      <c r="D15" s="49">
        <v>1.32</v>
      </c>
      <c r="E15" s="49">
        <v>1.32</v>
      </c>
      <c r="F15" s="49">
        <f>E15*'рабочая не печать '!$D$63</f>
        <v>279.0096088055928</v>
      </c>
      <c r="G15" s="47"/>
      <c r="H15" s="47">
        <f>'исх.данные'!L14</f>
        <v>5098</v>
      </c>
      <c r="I15" s="160">
        <f t="shared" si="1"/>
        <v>5098</v>
      </c>
      <c r="J15" s="403">
        <v>279.01</v>
      </c>
      <c r="K15" s="760"/>
      <c r="L15" s="766"/>
      <c r="M15" s="250">
        <f t="shared" si="2"/>
        <v>0.26449261005666286</v>
      </c>
      <c r="N15" s="763"/>
      <c r="O15" s="377">
        <f>'рабочая не печать '!$K$63</f>
        <v>2.2303703703703697</v>
      </c>
      <c r="P15" s="49"/>
      <c r="Q15" s="47">
        <f>'рабочая не печать '!$M$61</f>
        <v>51.25925925925926</v>
      </c>
      <c r="R15" s="386">
        <f>O15*'рабочая не печать '!$N$63</f>
        <v>209.48148148148147</v>
      </c>
      <c r="V15" s="777"/>
      <c r="W15" s="379">
        <v>0</v>
      </c>
      <c r="X15" s="206">
        <f t="shared" si="0"/>
        <v>0</v>
      </c>
      <c r="Y15" s="394">
        <v>0</v>
      </c>
    </row>
    <row r="16" spans="1:25" s="231" customFormat="1" ht="57" customHeight="1" thickBot="1">
      <c r="A16" s="198">
        <v>10</v>
      </c>
      <c r="B16" s="200" t="s">
        <v>619</v>
      </c>
      <c r="C16" s="200">
        <v>8</v>
      </c>
      <c r="D16" s="199">
        <f>SUM(D8:D15)</f>
        <v>11.06</v>
      </c>
      <c r="E16" s="199">
        <f>SUM(E8:E15)</f>
        <v>11.06</v>
      </c>
      <c r="F16" s="199">
        <f>SUM(F8:F15)</f>
        <v>1070.761049134811</v>
      </c>
      <c r="G16" s="200">
        <f>SUM(G8:G15)</f>
        <v>40116</v>
      </c>
      <c r="H16" s="200">
        <f>SUM(H8:H15)</f>
        <v>10358</v>
      </c>
      <c r="I16" s="200">
        <f>SUM(G16+H16)</f>
        <v>50474</v>
      </c>
      <c r="J16" s="404">
        <f>SUM(J8:J15)</f>
        <v>1070.77</v>
      </c>
      <c r="K16" s="404">
        <f>SUM(K8)</f>
        <v>13350</v>
      </c>
      <c r="L16" s="200"/>
      <c r="M16" s="199">
        <f>K16/I16</f>
        <v>0.26449261005666286</v>
      </c>
      <c r="N16" s="199">
        <f>SUM(N8:N15)</f>
        <v>667.5</v>
      </c>
      <c r="O16" s="378">
        <f>SUM(O8:O15)</f>
        <v>10.48148148148148</v>
      </c>
      <c r="P16" s="199">
        <f aca="true" t="shared" si="3" ref="P16:Y16">SUM(P8:P15)</f>
        <v>0</v>
      </c>
      <c r="Q16" s="200">
        <f>SUM(Q8:Q15)/A15</f>
        <v>50.629629629629626</v>
      </c>
      <c r="R16" s="387">
        <f t="shared" si="3"/>
        <v>1007.9259259259259</v>
      </c>
      <c r="V16" s="199">
        <f t="shared" si="3"/>
        <v>8.845</v>
      </c>
      <c r="W16" s="378">
        <f t="shared" si="3"/>
        <v>0.69</v>
      </c>
      <c r="X16" s="199">
        <f t="shared" si="3"/>
        <v>0</v>
      </c>
      <c r="Y16" s="395">
        <f t="shared" si="3"/>
        <v>0</v>
      </c>
    </row>
    <row r="17" spans="1:25" ht="49.5" customHeight="1">
      <c r="A17" s="161"/>
      <c r="B17" s="176" t="s">
        <v>622</v>
      </c>
      <c r="C17" s="171"/>
      <c r="D17" s="76"/>
      <c r="E17" s="76"/>
      <c r="F17" s="76"/>
      <c r="G17" s="171"/>
      <c r="H17" s="171"/>
      <c r="I17" s="176"/>
      <c r="J17" s="400"/>
      <c r="K17" s="401"/>
      <c r="L17" s="368"/>
      <c r="M17" s="177"/>
      <c r="N17" s="177"/>
      <c r="O17" s="375"/>
      <c r="P17" s="76"/>
      <c r="Q17" s="171"/>
      <c r="R17" s="384"/>
      <c r="V17" s="174"/>
      <c r="W17" s="375"/>
      <c r="X17" s="76"/>
      <c r="Y17" s="392"/>
    </row>
    <row r="18" spans="1:25" ht="49.5" customHeight="1">
      <c r="A18" s="823">
        <f>'исх.данные'!A17</f>
        <v>1</v>
      </c>
      <c r="B18" s="772" t="s">
        <v>640</v>
      </c>
      <c r="C18" s="22" t="s">
        <v>123</v>
      </c>
      <c r="D18" s="774">
        <f>E19+E18</f>
        <v>3.0500000000000003</v>
      </c>
      <c r="E18" s="42">
        <v>2.95</v>
      </c>
      <c r="F18" s="774">
        <f>D18*'рабочая не печать '!$D$63</f>
        <v>644.6812930735289</v>
      </c>
      <c r="G18" s="22">
        <v>30969</v>
      </c>
      <c r="H18" s="22"/>
      <c r="I18" s="39">
        <f aca="true" t="shared" si="4" ref="I18:I24">SUM(G18+H18)</f>
        <v>30969</v>
      </c>
      <c r="J18" s="814">
        <v>644.68</v>
      </c>
      <c r="K18" s="675">
        <v>8625</v>
      </c>
      <c r="L18" s="765" t="s">
        <v>131</v>
      </c>
      <c r="M18" s="205">
        <f>K18/(I25-G24)</f>
        <v>0.13158898466702265</v>
      </c>
      <c r="N18" s="762">
        <f>SUM(K18*0.05)</f>
        <v>431.25</v>
      </c>
      <c r="O18" s="807">
        <f>'рабочая не печать '!K63</f>
        <v>2.2303703703703697</v>
      </c>
      <c r="P18" s="774"/>
      <c r="Q18" s="772">
        <f>'рабочая не печать '!$M$61</f>
        <v>51.25925925925926</v>
      </c>
      <c r="R18" s="806">
        <f>'рабочая не печать '!K63*'рабочая не печать '!$N$63</f>
        <v>209.48148148148147</v>
      </c>
      <c r="V18" s="775">
        <v>6.52</v>
      </c>
      <c r="W18" s="376">
        <v>0</v>
      </c>
      <c r="X18" s="42">
        <v>0</v>
      </c>
      <c r="Y18" s="393">
        <v>0</v>
      </c>
    </row>
    <row r="19" spans="1:25" ht="49.5" customHeight="1">
      <c r="A19" s="824"/>
      <c r="B19" s="822"/>
      <c r="C19" s="22" t="s">
        <v>123</v>
      </c>
      <c r="D19" s="810"/>
      <c r="E19" s="42">
        <v>0.1</v>
      </c>
      <c r="F19" s="827"/>
      <c r="G19" s="22"/>
      <c r="H19" s="22">
        <v>1021</v>
      </c>
      <c r="I19" s="39">
        <f t="shared" si="4"/>
        <v>1021</v>
      </c>
      <c r="J19" s="815"/>
      <c r="K19" s="760"/>
      <c r="L19" s="766"/>
      <c r="M19" s="205">
        <f>M18</f>
        <v>0.13158898466702265</v>
      </c>
      <c r="N19" s="763"/>
      <c r="O19" s="813"/>
      <c r="P19" s="827"/>
      <c r="Q19" s="822"/>
      <c r="R19" s="828"/>
      <c r="V19" s="776"/>
      <c r="W19" s="376">
        <v>0</v>
      </c>
      <c r="X19" s="42">
        <v>0</v>
      </c>
      <c r="Y19" s="393">
        <v>0</v>
      </c>
    </row>
    <row r="20" spans="1:25" ht="49.5" customHeight="1">
      <c r="A20" s="823">
        <v>2</v>
      </c>
      <c r="B20" s="772" t="s">
        <v>641</v>
      </c>
      <c r="C20" s="22" t="s">
        <v>124</v>
      </c>
      <c r="D20" s="774">
        <f>E20+E21+E22+E23</f>
        <v>2.4599999999999995</v>
      </c>
      <c r="E20" s="42">
        <v>2.31</v>
      </c>
      <c r="F20" s="774">
        <f>D20*'рабочая не печать '!$D$63</f>
        <v>519.9724527740592</v>
      </c>
      <c r="G20" s="22">
        <v>21481</v>
      </c>
      <c r="H20" s="22">
        <v>7902</v>
      </c>
      <c r="I20" s="39">
        <f t="shared" si="4"/>
        <v>29383</v>
      </c>
      <c r="J20" s="814">
        <v>519.97</v>
      </c>
      <c r="K20" s="760"/>
      <c r="L20" s="766"/>
      <c r="M20" s="205">
        <f>M19</f>
        <v>0.13158898466702265</v>
      </c>
      <c r="N20" s="763"/>
      <c r="O20" s="807">
        <f>'рабочая не печать '!K63</f>
        <v>2.2303703703703697</v>
      </c>
      <c r="P20" s="774"/>
      <c r="Q20" s="772">
        <f>'рабочая не печать '!$M$61</f>
        <v>51.25925925925926</v>
      </c>
      <c r="R20" s="806">
        <f>'рабочая не печать '!K63*'рабочая не печать '!N63</f>
        <v>209.48148148148147</v>
      </c>
      <c r="V20" s="776"/>
      <c r="W20" s="376">
        <v>0</v>
      </c>
      <c r="X20" s="42">
        <v>0</v>
      </c>
      <c r="Y20" s="393">
        <v>0</v>
      </c>
    </row>
    <row r="21" spans="1:25" ht="49.5" customHeight="1">
      <c r="A21" s="826"/>
      <c r="B21" s="825"/>
      <c r="C21" s="22" t="s">
        <v>124</v>
      </c>
      <c r="D21" s="808"/>
      <c r="E21" s="42">
        <v>0.07</v>
      </c>
      <c r="F21" s="808"/>
      <c r="G21" s="22"/>
      <c r="H21" s="22">
        <v>3304</v>
      </c>
      <c r="I21" s="39">
        <f t="shared" si="4"/>
        <v>3304</v>
      </c>
      <c r="J21" s="816"/>
      <c r="K21" s="760"/>
      <c r="L21" s="766"/>
      <c r="M21" s="205">
        <f>M20</f>
        <v>0.13158898466702265</v>
      </c>
      <c r="N21" s="763"/>
      <c r="O21" s="838"/>
      <c r="P21" s="808"/>
      <c r="Q21" s="825"/>
      <c r="R21" s="829"/>
      <c r="V21" s="776"/>
      <c r="W21" s="376">
        <v>0</v>
      </c>
      <c r="X21" s="42">
        <v>0</v>
      </c>
      <c r="Y21" s="393">
        <v>0</v>
      </c>
    </row>
    <row r="22" spans="1:25" ht="49.5" customHeight="1">
      <c r="A22" s="826"/>
      <c r="B22" s="825"/>
      <c r="C22" s="22" t="s">
        <v>124</v>
      </c>
      <c r="D22" s="808"/>
      <c r="E22" s="42">
        <v>0.05</v>
      </c>
      <c r="F22" s="808"/>
      <c r="G22" s="22"/>
      <c r="H22" s="22">
        <v>443</v>
      </c>
      <c r="I22" s="39">
        <f t="shared" si="4"/>
        <v>443</v>
      </c>
      <c r="J22" s="816"/>
      <c r="K22" s="760"/>
      <c r="L22" s="766"/>
      <c r="M22" s="205">
        <f>M21</f>
        <v>0.13158898466702265</v>
      </c>
      <c r="N22" s="763"/>
      <c r="O22" s="838"/>
      <c r="P22" s="808"/>
      <c r="Q22" s="825"/>
      <c r="R22" s="819"/>
      <c r="V22" s="776"/>
      <c r="W22" s="376">
        <v>0</v>
      </c>
      <c r="X22" s="42">
        <v>0</v>
      </c>
      <c r="Y22" s="393">
        <v>0</v>
      </c>
    </row>
    <row r="23" spans="1:25" ht="49.5" customHeight="1">
      <c r="A23" s="824"/>
      <c r="B23" s="822"/>
      <c r="C23" s="22" t="s">
        <v>124</v>
      </c>
      <c r="D23" s="827"/>
      <c r="E23" s="42">
        <v>0.03</v>
      </c>
      <c r="F23" s="827"/>
      <c r="G23" s="22"/>
      <c r="H23" s="22">
        <v>425</v>
      </c>
      <c r="I23" s="39">
        <f t="shared" si="4"/>
        <v>425</v>
      </c>
      <c r="J23" s="815"/>
      <c r="K23" s="818"/>
      <c r="L23" s="769"/>
      <c r="M23" s="205">
        <f>M22</f>
        <v>0.13158898466702265</v>
      </c>
      <c r="N23" s="768"/>
      <c r="O23" s="813"/>
      <c r="P23" s="827"/>
      <c r="Q23" s="822"/>
      <c r="R23" s="830"/>
      <c r="V23" s="778"/>
      <c r="W23" s="376">
        <v>0</v>
      </c>
      <c r="X23" s="42">
        <v>0</v>
      </c>
      <c r="Y23" s="393">
        <v>0</v>
      </c>
    </row>
    <row r="24" spans="1:25" ht="49.5" customHeight="1" thickBot="1">
      <c r="A24" s="173">
        <v>3</v>
      </c>
      <c r="B24" s="47" t="s">
        <v>626</v>
      </c>
      <c r="C24" s="47" t="s">
        <v>689</v>
      </c>
      <c r="D24" s="49">
        <v>0.14</v>
      </c>
      <c r="E24" s="49">
        <v>0.14</v>
      </c>
      <c r="F24" s="42">
        <f>E24*'рабочая не печать '!$D$63</f>
        <v>29.591928206653783</v>
      </c>
      <c r="G24" s="47">
        <v>1770</v>
      </c>
      <c r="H24" s="47"/>
      <c r="I24" s="39">
        <f t="shared" si="4"/>
        <v>1770</v>
      </c>
      <c r="J24" s="402">
        <v>29.59</v>
      </c>
      <c r="K24" s="405" t="e">
        <f>SUM(M24*I24)</f>
        <v>#REF!</v>
      </c>
      <c r="L24" s="232" t="s">
        <v>133</v>
      </c>
      <c r="M24" s="179" t="e">
        <f>0.29*(2.34/3.43)*#REF!</f>
        <v>#REF!</v>
      </c>
      <c r="N24" s="179" t="e">
        <f>SUM(K24*0.05)</f>
        <v>#REF!</v>
      </c>
      <c r="O24" s="376">
        <f>'рабочая не печать '!$K$63</f>
        <v>2.2303703703703697</v>
      </c>
      <c r="P24" s="49"/>
      <c r="Q24" s="22">
        <f>'рабочая не печать '!$M$61</f>
        <v>51.25925925925926</v>
      </c>
      <c r="R24" s="385">
        <f>O24*'рабочая не печать '!$N$63</f>
        <v>209.48148148148147</v>
      </c>
      <c r="V24" s="162">
        <f>24</f>
        <v>24</v>
      </c>
      <c r="W24" s="377">
        <v>0</v>
      </c>
      <c r="X24" s="49">
        <v>0</v>
      </c>
      <c r="Y24" s="394">
        <v>0</v>
      </c>
    </row>
    <row r="25" spans="1:25" s="231" customFormat="1" ht="69" customHeight="1" thickBot="1">
      <c r="A25" s="198"/>
      <c r="B25" s="200" t="s">
        <v>629</v>
      </c>
      <c r="C25" s="200">
        <v>3</v>
      </c>
      <c r="D25" s="199">
        <f aca="true" t="shared" si="5" ref="D25:P25">SUM(D18:D24)</f>
        <v>5.6499999999999995</v>
      </c>
      <c r="E25" s="199">
        <f t="shared" si="5"/>
        <v>5.65</v>
      </c>
      <c r="F25" s="199">
        <f t="shared" si="5"/>
        <v>1194.245674054242</v>
      </c>
      <c r="G25" s="200">
        <f t="shared" si="5"/>
        <v>54220</v>
      </c>
      <c r="H25" s="200">
        <f t="shared" si="5"/>
        <v>13095</v>
      </c>
      <c r="I25" s="200">
        <f t="shared" si="5"/>
        <v>67315</v>
      </c>
      <c r="J25" s="404">
        <f t="shared" si="5"/>
        <v>1194.24</v>
      </c>
      <c r="K25" s="406" t="e">
        <f>SUM(K18:K24)</f>
        <v>#REF!</v>
      </c>
      <c r="L25" s="220"/>
      <c r="M25" s="199" t="e">
        <f>K25/I25</f>
        <v>#REF!</v>
      </c>
      <c r="N25" s="175" t="e">
        <f>SUM(N18:N24)</f>
        <v>#REF!</v>
      </c>
      <c r="O25" s="378">
        <f t="shared" si="5"/>
        <v>6.691111111111109</v>
      </c>
      <c r="P25" s="199">
        <f t="shared" si="5"/>
        <v>0</v>
      </c>
      <c r="Q25" s="200">
        <f>SUM(Q18:Q24)/A24</f>
        <v>51.25925925925926</v>
      </c>
      <c r="R25" s="387">
        <f>SUM(R18:R24)</f>
        <v>628.4444444444443</v>
      </c>
      <c r="V25" s="199">
        <f>SUM(V18:V24)</f>
        <v>30.52</v>
      </c>
      <c r="W25" s="378">
        <f>SUM(W18:W24)</f>
        <v>0</v>
      </c>
      <c r="X25" s="199">
        <f>SUM(X18:X24)</f>
        <v>0</v>
      </c>
      <c r="Y25" s="395">
        <f>SUM(Y18:Y24)</f>
        <v>0</v>
      </c>
    </row>
    <row r="26" spans="1:25" ht="49.5" customHeight="1">
      <c r="A26" s="161"/>
      <c r="B26" s="176" t="s">
        <v>630</v>
      </c>
      <c r="C26" s="171"/>
      <c r="D26" s="76"/>
      <c r="E26" s="76"/>
      <c r="F26" s="76"/>
      <c r="G26" s="171"/>
      <c r="H26" s="171"/>
      <c r="I26" s="176"/>
      <c r="J26" s="400"/>
      <c r="K26" s="401"/>
      <c r="L26" s="368"/>
      <c r="M26" s="177"/>
      <c r="N26" s="177"/>
      <c r="O26" s="375"/>
      <c r="P26" s="76"/>
      <c r="Q26" s="171"/>
      <c r="R26" s="384"/>
      <c r="V26" s="174"/>
      <c r="W26" s="375"/>
      <c r="X26" s="76"/>
      <c r="Y26" s="392"/>
    </row>
    <row r="27" spans="1:25" ht="49.5" customHeight="1">
      <c r="A27" s="178">
        <v>1</v>
      </c>
      <c r="B27" s="22" t="s">
        <v>631</v>
      </c>
      <c r="C27" s="22" t="s">
        <v>689</v>
      </c>
      <c r="D27" s="42">
        <f>'исх.данные'!D26</f>
        <v>0.636</v>
      </c>
      <c r="E27" s="42">
        <v>0.636</v>
      </c>
      <c r="F27" s="42">
        <f>E27*'рабочая не печать '!$D$63</f>
        <v>134.43190242451288</v>
      </c>
      <c r="G27" s="22"/>
      <c r="H27" s="22">
        <v>2500</v>
      </c>
      <c r="I27" s="39">
        <f>SUM(G27+H27)</f>
        <v>2500</v>
      </c>
      <c r="J27" s="402">
        <v>134.43</v>
      </c>
      <c r="K27" s="675">
        <v>5400</v>
      </c>
      <c r="L27" s="765" t="s">
        <v>131</v>
      </c>
      <c r="M27" s="205">
        <f>K27/I32</f>
        <v>0.2827817343946376</v>
      </c>
      <c r="N27" s="762">
        <f>SUM(K27*0.05)</f>
        <v>270</v>
      </c>
      <c r="O27" s="376">
        <f>'рабочая не печать '!$K$63</f>
        <v>2.2303703703703697</v>
      </c>
      <c r="P27" s="42"/>
      <c r="Q27" s="22">
        <f>'рабочая не печать '!$M$61</f>
        <v>51.25925925925926</v>
      </c>
      <c r="R27" s="385">
        <f>O27*'рабочая не печать '!$N$63</f>
        <v>209.48148148148147</v>
      </c>
      <c r="V27" s="775">
        <v>4.082</v>
      </c>
      <c r="W27" s="376">
        <v>0</v>
      </c>
      <c r="X27" s="42">
        <v>0</v>
      </c>
      <c r="Y27" s="393">
        <v>0</v>
      </c>
    </row>
    <row r="28" spans="1:25" ht="49.5" customHeight="1">
      <c r="A28" s="178">
        <v>2</v>
      </c>
      <c r="B28" s="22" t="s">
        <v>633</v>
      </c>
      <c r="C28" s="22" t="s">
        <v>689</v>
      </c>
      <c r="D28" s="42">
        <f>'исх.данные'!D27</f>
        <v>0.48</v>
      </c>
      <c r="E28" s="42">
        <v>0.48</v>
      </c>
      <c r="F28" s="42">
        <f>E28*'рабочая не печать '!$D$63</f>
        <v>101.45803956567009</v>
      </c>
      <c r="G28" s="22"/>
      <c r="H28" s="22">
        <v>2310</v>
      </c>
      <c r="I28" s="39">
        <f>SUM(G28+H28)</f>
        <v>2310</v>
      </c>
      <c r="J28" s="402">
        <v>101.46</v>
      </c>
      <c r="K28" s="760"/>
      <c r="L28" s="766"/>
      <c r="M28" s="205">
        <f>M27</f>
        <v>0.2827817343946376</v>
      </c>
      <c r="N28" s="763"/>
      <c r="O28" s="376">
        <f>'рабочая не печать '!$K$63</f>
        <v>2.2303703703703697</v>
      </c>
      <c r="P28" s="42"/>
      <c r="Q28" s="22">
        <f>'рабочая не печать '!$M$61</f>
        <v>51.25925925925926</v>
      </c>
      <c r="R28" s="385">
        <f>O28*'рабочая не печать '!$N$63</f>
        <v>209.48148148148147</v>
      </c>
      <c r="V28" s="776"/>
      <c r="W28" s="376">
        <v>0</v>
      </c>
      <c r="X28" s="42">
        <v>0</v>
      </c>
      <c r="Y28" s="393">
        <v>0</v>
      </c>
    </row>
    <row r="29" spans="1:25" ht="49.5" customHeight="1">
      <c r="A29" s="178">
        <v>3</v>
      </c>
      <c r="B29" s="22" t="s">
        <v>634</v>
      </c>
      <c r="C29" s="22" t="s">
        <v>689</v>
      </c>
      <c r="D29" s="42">
        <f>'исх.данные'!D28</f>
        <v>0.48</v>
      </c>
      <c r="E29" s="42">
        <v>0.48</v>
      </c>
      <c r="F29" s="42">
        <f>E29*'рабочая не печать '!$D$63</f>
        <v>101.45803956567009</v>
      </c>
      <c r="G29" s="22"/>
      <c r="H29" s="22">
        <v>3869</v>
      </c>
      <c r="I29" s="39">
        <f>SUM(G29+H29)</f>
        <v>3869</v>
      </c>
      <c r="J29" s="402">
        <v>101.46</v>
      </c>
      <c r="K29" s="760"/>
      <c r="L29" s="766"/>
      <c r="M29" s="205">
        <f>M28</f>
        <v>0.2827817343946376</v>
      </c>
      <c r="N29" s="763"/>
      <c r="O29" s="376">
        <f>'рабочая не печать '!$K$63</f>
        <v>2.2303703703703697</v>
      </c>
      <c r="P29" s="42"/>
      <c r="Q29" s="22">
        <f>'рабочая не печать '!$M$61</f>
        <v>51.25925925925926</v>
      </c>
      <c r="R29" s="385">
        <f>O29*'рабочая не печать '!$N$63</f>
        <v>209.48148148148147</v>
      </c>
      <c r="V29" s="776"/>
      <c r="W29" s="376">
        <v>0</v>
      </c>
      <c r="X29" s="42">
        <v>0</v>
      </c>
      <c r="Y29" s="393">
        <v>0</v>
      </c>
    </row>
    <row r="30" spans="1:25" ht="49.5" customHeight="1">
      <c r="A30" s="178"/>
      <c r="B30" s="22" t="s">
        <v>635</v>
      </c>
      <c r="C30" s="22"/>
      <c r="D30" s="42">
        <f>'исх.данные'!D29</f>
        <v>1.24</v>
      </c>
      <c r="E30" s="42">
        <f>D30</f>
        <v>1.24</v>
      </c>
      <c r="F30" s="42">
        <f>E30*'рабочая не печать '!$D$63</f>
        <v>262.09993554464774</v>
      </c>
      <c r="G30" s="22">
        <v>5972</v>
      </c>
      <c r="H30" s="22"/>
      <c r="I30" s="39">
        <f>SUM(G30+H30)</f>
        <v>5972</v>
      </c>
      <c r="J30" s="402">
        <v>262.1</v>
      </c>
      <c r="K30" s="760"/>
      <c r="L30" s="766"/>
      <c r="M30" s="205">
        <f>M29</f>
        <v>0.2827817343946376</v>
      </c>
      <c r="N30" s="763"/>
      <c r="O30" s="376"/>
      <c r="P30" s="253"/>
      <c r="Q30" s="22"/>
      <c r="R30" s="385"/>
      <c r="V30" s="776"/>
      <c r="W30" s="376">
        <v>0</v>
      </c>
      <c r="X30" s="42">
        <v>0</v>
      </c>
      <c r="Y30" s="393">
        <v>0</v>
      </c>
    </row>
    <row r="31" spans="1:25" ht="49.5" customHeight="1" thickBot="1">
      <c r="A31" s="173"/>
      <c r="B31" s="47" t="s">
        <v>637</v>
      </c>
      <c r="C31" s="47"/>
      <c r="D31" s="42">
        <f>'исх.данные'!D30</f>
        <v>0.53</v>
      </c>
      <c r="E31" s="49">
        <f>D31</f>
        <v>0.53</v>
      </c>
      <c r="F31" s="42">
        <f>E31*'рабочая не печать '!$D$63</f>
        <v>112.02658535376074</v>
      </c>
      <c r="G31" s="47">
        <v>4445</v>
      </c>
      <c r="H31" s="47"/>
      <c r="I31" s="39">
        <f>SUM(G31+H31)</f>
        <v>4445</v>
      </c>
      <c r="J31" s="402">
        <v>112.03</v>
      </c>
      <c r="K31" s="761"/>
      <c r="L31" s="767"/>
      <c r="M31" s="205">
        <f>M30</f>
        <v>0.2827817343946376</v>
      </c>
      <c r="N31" s="764"/>
      <c r="O31" s="376"/>
      <c r="P31" s="49"/>
      <c r="Q31" s="22"/>
      <c r="R31" s="385"/>
      <c r="V31" s="777"/>
      <c r="W31" s="377">
        <v>0</v>
      </c>
      <c r="X31" s="49">
        <v>0</v>
      </c>
      <c r="Y31" s="394">
        <v>0</v>
      </c>
    </row>
    <row r="32" spans="1:25" s="231" customFormat="1" ht="67.5" customHeight="1" thickBot="1">
      <c r="A32" s="198"/>
      <c r="B32" s="200" t="s">
        <v>639</v>
      </c>
      <c r="C32" s="200">
        <v>3</v>
      </c>
      <c r="D32" s="199">
        <f aca="true" t="shared" si="6" ref="D32:P32">SUM(D27:D31)</f>
        <v>3.3660000000000005</v>
      </c>
      <c r="E32" s="199">
        <f t="shared" si="6"/>
        <v>3.3660000000000005</v>
      </c>
      <c r="F32" s="199">
        <f t="shared" si="6"/>
        <v>711.4745024542616</v>
      </c>
      <c r="G32" s="200">
        <f t="shared" si="6"/>
        <v>10417</v>
      </c>
      <c r="H32" s="200">
        <f t="shared" si="6"/>
        <v>8679</v>
      </c>
      <c r="I32" s="200">
        <f t="shared" si="6"/>
        <v>19096</v>
      </c>
      <c r="J32" s="404">
        <f t="shared" si="6"/>
        <v>711.48</v>
      </c>
      <c r="K32" s="406">
        <f>SUM(K27:K31)</f>
        <v>5400</v>
      </c>
      <c r="L32" s="220"/>
      <c r="M32" s="199">
        <f>K32/I32</f>
        <v>0.2827817343946376</v>
      </c>
      <c r="N32" s="175">
        <f>SUM(N27:N31)</f>
        <v>270</v>
      </c>
      <c r="O32" s="378">
        <f t="shared" si="6"/>
        <v>6.691111111111109</v>
      </c>
      <c r="P32" s="199">
        <f t="shared" si="6"/>
        <v>0</v>
      </c>
      <c r="Q32" s="200">
        <f>SUM(Q27:Q31)/C32</f>
        <v>51.25925925925926</v>
      </c>
      <c r="R32" s="387">
        <f>SUM(R27:R31)</f>
        <v>628.4444444444443</v>
      </c>
      <c r="V32" s="175">
        <f>SUM(V27:V31)</f>
        <v>4.082</v>
      </c>
      <c r="W32" s="380">
        <f>SUM(W27:W31)</f>
        <v>0</v>
      </c>
      <c r="X32" s="175">
        <f>SUM(X27:X31)</f>
        <v>0</v>
      </c>
      <c r="Y32" s="396">
        <f>SUM(Y27:Y31)</f>
        <v>0</v>
      </c>
    </row>
    <row r="33" spans="1:25" s="233" customFormat="1" ht="49.5" customHeight="1">
      <c r="A33" s="161"/>
      <c r="B33" s="176" t="s">
        <v>642</v>
      </c>
      <c r="C33" s="171"/>
      <c r="D33" s="76"/>
      <c r="E33" s="76"/>
      <c r="F33" s="76"/>
      <c r="G33" s="171"/>
      <c r="H33" s="171"/>
      <c r="I33" s="176"/>
      <c r="J33" s="400"/>
      <c r="K33" s="400"/>
      <c r="L33" s="176"/>
      <c r="M33" s="76"/>
      <c r="N33" s="76"/>
      <c r="O33" s="375"/>
      <c r="P33" s="76"/>
      <c r="Q33" s="171"/>
      <c r="R33" s="384"/>
      <c r="V33" s="174"/>
      <c r="W33" s="375"/>
      <c r="X33" s="76"/>
      <c r="Y33" s="392"/>
    </row>
    <row r="34" spans="1:25" ht="49.5" customHeight="1">
      <c r="A34" s="178"/>
      <c r="B34" s="22" t="s">
        <v>875</v>
      </c>
      <c r="C34" s="180" t="s">
        <v>643</v>
      </c>
      <c r="D34" s="42">
        <f>'исх.данные'!D33</f>
        <v>0.25</v>
      </c>
      <c r="E34" s="42">
        <v>0.25</v>
      </c>
      <c r="F34" s="42"/>
      <c r="G34" s="22">
        <v>2548</v>
      </c>
      <c r="H34" s="22"/>
      <c r="I34" s="39">
        <f aca="true" t="shared" si="7" ref="I34:I53">SUM(G34+H34)</f>
        <v>2548</v>
      </c>
      <c r="J34" s="402"/>
      <c r="K34" s="407" t="e">
        <f>SUM(M34*I34)</f>
        <v>#REF!</v>
      </c>
      <c r="L34" s="229" t="s">
        <v>133</v>
      </c>
      <c r="M34" s="179" t="e">
        <f>0.29*(2.34/3.43)*#REF!</f>
        <v>#REF!</v>
      </c>
      <c r="N34" s="169" t="e">
        <f>SUM(K34*0.05)</f>
        <v>#REF!</v>
      </c>
      <c r="O34" s="376"/>
      <c r="P34" s="42"/>
      <c r="Q34" s="22"/>
      <c r="R34" s="385"/>
      <c r="V34" s="38">
        <f>SUM(E34*3.43*1.163)</f>
        <v>0.9972725000000001</v>
      </c>
      <c r="W34" s="376">
        <v>0</v>
      </c>
      <c r="X34" s="42">
        <v>0</v>
      </c>
      <c r="Y34" s="393">
        <v>0</v>
      </c>
    </row>
    <row r="35" spans="1:25" ht="49.5" customHeight="1">
      <c r="A35" s="178"/>
      <c r="B35" s="22" t="s">
        <v>644</v>
      </c>
      <c r="C35" s="180" t="s">
        <v>643</v>
      </c>
      <c r="D35" s="42">
        <f>'исх.данные'!D34</f>
        <v>0.11</v>
      </c>
      <c r="E35" s="42">
        <v>0.11</v>
      </c>
      <c r="F35" s="42"/>
      <c r="G35" s="22">
        <v>1159</v>
      </c>
      <c r="H35" s="22"/>
      <c r="I35" s="39">
        <f t="shared" si="7"/>
        <v>1159</v>
      </c>
      <c r="J35" s="402"/>
      <c r="K35" s="407" t="e">
        <f>SUM(M35*I35)</f>
        <v>#REF!</v>
      </c>
      <c r="L35" s="229" t="s">
        <v>133</v>
      </c>
      <c r="M35" s="179" t="e">
        <f>0.29*(2.34/3.43)*#REF!</f>
        <v>#REF!</v>
      </c>
      <c r="N35" s="169" t="e">
        <f>SUM(K35*0.05)</f>
        <v>#REF!</v>
      </c>
      <c r="O35" s="376"/>
      <c r="P35" s="42"/>
      <c r="Q35" s="22"/>
      <c r="R35" s="385"/>
      <c r="V35" s="38">
        <f>SUM(E35*3.43*1.163)</f>
        <v>0.4387999</v>
      </c>
      <c r="W35" s="376">
        <v>0</v>
      </c>
      <c r="X35" s="42">
        <v>0</v>
      </c>
      <c r="Y35" s="393">
        <v>0</v>
      </c>
    </row>
    <row r="36" spans="1:25" ht="49.5" customHeight="1">
      <c r="A36" s="178"/>
      <c r="B36" s="22" t="s">
        <v>646</v>
      </c>
      <c r="C36" s="180" t="s">
        <v>643</v>
      </c>
      <c r="D36" s="42">
        <f>'исх.данные'!D35</f>
        <v>0.46</v>
      </c>
      <c r="E36" s="42">
        <v>0.46</v>
      </c>
      <c r="F36" s="42"/>
      <c r="G36" s="22">
        <v>4334</v>
      </c>
      <c r="H36" s="22"/>
      <c r="I36" s="39">
        <f t="shared" si="7"/>
        <v>4334</v>
      </c>
      <c r="J36" s="402"/>
      <c r="K36" s="407" t="e">
        <f>SUM(M36*I36)</f>
        <v>#REF!</v>
      </c>
      <c r="L36" s="229" t="s">
        <v>133</v>
      </c>
      <c r="M36" s="179" t="e">
        <f>0.29*(2.34/3.43)*#REF!</f>
        <v>#REF!</v>
      </c>
      <c r="N36" s="169" t="e">
        <f>SUM(K36*0.05)</f>
        <v>#REF!</v>
      </c>
      <c r="O36" s="376"/>
      <c r="P36" s="42"/>
      <c r="Q36" s="22"/>
      <c r="R36" s="385"/>
      <c r="V36" s="38">
        <f>SUM(E36*3.43*1.163)</f>
        <v>1.8349814000000002</v>
      </c>
      <c r="W36" s="376">
        <v>0</v>
      </c>
      <c r="X36" s="42">
        <v>0</v>
      </c>
      <c r="Y36" s="393">
        <v>0</v>
      </c>
    </row>
    <row r="37" spans="1:25" ht="49.5" customHeight="1">
      <c r="A37" s="178"/>
      <c r="B37" s="22" t="s">
        <v>647</v>
      </c>
      <c r="C37" s="180" t="s">
        <v>643</v>
      </c>
      <c r="D37" s="42">
        <f>'исх.данные'!D36</f>
        <v>0.15</v>
      </c>
      <c r="E37" s="42">
        <v>0.15</v>
      </c>
      <c r="F37" s="42"/>
      <c r="G37" s="22">
        <v>1421</v>
      </c>
      <c r="H37" s="22"/>
      <c r="I37" s="39">
        <f t="shared" si="7"/>
        <v>1421</v>
      </c>
      <c r="J37" s="402"/>
      <c r="K37" s="407" t="e">
        <f>SUM(M37*I37)</f>
        <v>#REF!</v>
      </c>
      <c r="L37" s="229" t="s">
        <v>133</v>
      </c>
      <c r="M37" s="179" t="e">
        <f>0.29*(2.34/3.43)*#REF!</f>
        <v>#REF!</v>
      </c>
      <c r="N37" s="169" t="e">
        <f>SUM(K37*0.05)</f>
        <v>#REF!</v>
      </c>
      <c r="O37" s="376"/>
      <c r="P37" s="42"/>
      <c r="Q37" s="22"/>
      <c r="R37" s="385"/>
      <c r="V37" s="38">
        <f>SUM(E37*3.43*1.163)</f>
        <v>0.5983634999999999</v>
      </c>
      <c r="W37" s="376">
        <v>0</v>
      </c>
      <c r="X37" s="42">
        <v>0</v>
      </c>
      <c r="Y37" s="393">
        <v>0</v>
      </c>
    </row>
    <row r="38" spans="1:25" ht="49.5" customHeight="1">
      <c r="A38" s="178">
        <v>1</v>
      </c>
      <c r="B38" s="22" t="s">
        <v>648</v>
      </c>
      <c r="C38" s="22" t="s">
        <v>689</v>
      </c>
      <c r="D38" s="42">
        <f>'исх.данные'!D37</f>
        <v>0.07</v>
      </c>
      <c r="E38" s="42">
        <v>0.73</v>
      </c>
      <c r="F38" s="42">
        <f>E38*'рабочая не печать '!$D$63</f>
        <v>154.30076850612326</v>
      </c>
      <c r="G38" s="22"/>
      <c r="H38" s="22">
        <v>3554</v>
      </c>
      <c r="I38" s="39">
        <f t="shared" si="7"/>
        <v>3554</v>
      </c>
      <c r="J38" s="402">
        <v>154.3</v>
      </c>
      <c r="K38" s="675">
        <v>10125</v>
      </c>
      <c r="L38" s="765" t="s">
        <v>131</v>
      </c>
      <c r="M38" s="205">
        <f>K38/H54</f>
        <v>0.2702666631075995</v>
      </c>
      <c r="N38" s="762">
        <f>SUM(K38*0.05)</f>
        <v>506.25</v>
      </c>
      <c r="O38" s="376">
        <f>'рабочая не печать '!$K$63</f>
        <v>2.2303703703703697</v>
      </c>
      <c r="P38" s="42"/>
      <c r="Q38" s="22">
        <f>'рабочая не печать '!$M$61</f>
        <v>51.25925925925926</v>
      </c>
      <c r="R38" s="385">
        <f>O38*'рабочая не печать '!$N$63</f>
        <v>209.48148148148147</v>
      </c>
      <c r="V38" s="775">
        <v>7.654</v>
      </c>
      <c r="W38" s="376">
        <v>0</v>
      </c>
      <c r="X38" s="42">
        <v>0</v>
      </c>
      <c r="Y38" s="393">
        <v>0</v>
      </c>
    </row>
    <row r="39" spans="1:25" ht="49.5" customHeight="1">
      <c r="A39" s="178">
        <v>2</v>
      </c>
      <c r="B39" s="22" t="s">
        <v>650</v>
      </c>
      <c r="C39" s="22" t="s">
        <v>689</v>
      </c>
      <c r="D39" s="42">
        <f>'исх.данные'!D38</f>
        <v>0.73</v>
      </c>
      <c r="E39" s="42">
        <v>0.73</v>
      </c>
      <c r="F39" s="42">
        <f>E39*'рабочая не печать '!$D$63</f>
        <v>154.30076850612326</v>
      </c>
      <c r="G39" s="22"/>
      <c r="H39" s="22">
        <v>661</v>
      </c>
      <c r="I39" s="39">
        <f t="shared" si="7"/>
        <v>661</v>
      </c>
      <c r="J39" s="402">
        <v>154.3</v>
      </c>
      <c r="K39" s="760"/>
      <c r="L39" s="766"/>
      <c r="M39" s="205">
        <f>M38</f>
        <v>0.2702666631075995</v>
      </c>
      <c r="N39" s="763"/>
      <c r="O39" s="376">
        <f>'рабочая не печать '!$K$63</f>
        <v>2.2303703703703697</v>
      </c>
      <c r="P39" s="42"/>
      <c r="Q39" s="22">
        <f>'рабочая не печать '!$M$61</f>
        <v>51.25925925925926</v>
      </c>
      <c r="R39" s="385">
        <f>O39*'рабочая не печать '!$N$63</f>
        <v>209.48148148148147</v>
      </c>
      <c r="V39" s="776"/>
      <c r="W39" s="376">
        <v>0</v>
      </c>
      <c r="X39" s="42">
        <v>0</v>
      </c>
      <c r="Y39" s="393">
        <v>0</v>
      </c>
    </row>
    <row r="40" spans="1:25" ht="49.5" customHeight="1">
      <c r="A40" s="178">
        <v>3</v>
      </c>
      <c r="B40" s="22" t="s">
        <v>651</v>
      </c>
      <c r="C40" s="22" t="s">
        <v>689</v>
      </c>
      <c r="D40" s="42">
        <f>'исх.данные'!D39</f>
        <v>0.73</v>
      </c>
      <c r="E40" s="42">
        <v>0.73</v>
      </c>
      <c r="F40" s="42">
        <f>E40*'рабочая не печать '!$D$63</f>
        <v>154.30076850612326</v>
      </c>
      <c r="G40" s="22"/>
      <c r="H40" s="22">
        <v>3300</v>
      </c>
      <c r="I40" s="39">
        <f t="shared" si="7"/>
        <v>3300</v>
      </c>
      <c r="J40" s="402">
        <v>154.3</v>
      </c>
      <c r="K40" s="760"/>
      <c r="L40" s="766"/>
      <c r="M40" s="205">
        <f aca="true" t="shared" si="8" ref="M40:M53">M39</f>
        <v>0.2702666631075995</v>
      </c>
      <c r="N40" s="763"/>
      <c r="O40" s="376">
        <f>'рабочая не печать '!$K$63</f>
        <v>2.2303703703703697</v>
      </c>
      <c r="P40" s="42"/>
      <c r="Q40" s="22">
        <f>'рабочая не печать '!$M$61</f>
        <v>51.25925925925926</v>
      </c>
      <c r="R40" s="385">
        <f>O40*'рабочая не печать '!$N$63</f>
        <v>209.48148148148147</v>
      </c>
      <c r="V40" s="776"/>
      <c r="W40" s="376">
        <v>0</v>
      </c>
      <c r="X40" s="42">
        <v>0</v>
      </c>
      <c r="Y40" s="393">
        <v>0</v>
      </c>
    </row>
    <row r="41" spans="1:25" ht="49.5" customHeight="1">
      <c r="A41" s="178">
        <v>4</v>
      </c>
      <c r="B41" s="22" t="s">
        <v>652</v>
      </c>
      <c r="C41" s="22" t="s">
        <v>689</v>
      </c>
      <c r="D41" s="42">
        <f>'исх.данные'!D40</f>
        <v>0.62</v>
      </c>
      <c r="E41" s="42">
        <v>0.62</v>
      </c>
      <c r="F41" s="42">
        <f>E41*'рабочая не печать '!$D$63</f>
        <v>131.04996777232387</v>
      </c>
      <c r="G41" s="22"/>
      <c r="H41" s="22">
        <v>2987</v>
      </c>
      <c r="I41" s="39">
        <f t="shared" si="7"/>
        <v>2987</v>
      </c>
      <c r="J41" s="402">
        <v>131.05</v>
      </c>
      <c r="K41" s="760"/>
      <c r="L41" s="766"/>
      <c r="M41" s="205">
        <f t="shared" si="8"/>
        <v>0.2702666631075995</v>
      </c>
      <c r="N41" s="763"/>
      <c r="O41" s="376">
        <f>'рабочая не печать '!$K$63</f>
        <v>2.2303703703703697</v>
      </c>
      <c r="P41" s="42"/>
      <c r="Q41" s="22">
        <f>'рабочая не печать '!$M$61</f>
        <v>51.25925925925926</v>
      </c>
      <c r="R41" s="385">
        <f>O41*'рабочая не печать '!$N$63</f>
        <v>209.48148148148147</v>
      </c>
      <c r="V41" s="776"/>
      <c r="W41" s="376">
        <v>0</v>
      </c>
      <c r="X41" s="42">
        <v>0</v>
      </c>
      <c r="Y41" s="393">
        <v>0</v>
      </c>
    </row>
    <row r="42" spans="1:25" ht="49.5" customHeight="1">
      <c r="A42" s="178">
        <v>5</v>
      </c>
      <c r="B42" s="22" t="s">
        <v>653</v>
      </c>
      <c r="C42" s="22" t="s">
        <v>689</v>
      </c>
      <c r="D42" s="42">
        <f>'исх.данные'!D41</f>
        <v>0.62</v>
      </c>
      <c r="E42" s="42">
        <v>0.62</v>
      </c>
      <c r="F42" s="42">
        <f>E42*'рабочая не печать '!$D$63</f>
        <v>131.04996777232387</v>
      </c>
      <c r="G42" s="22"/>
      <c r="H42" s="22">
        <v>1217</v>
      </c>
      <c r="I42" s="39">
        <f t="shared" si="7"/>
        <v>1217</v>
      </c>
      <c r="J42" s="402">
        <v>131.05</v>
      </c>
      <c r="K42" s="760"/>
      <c r="L42" s="766"/>
      <c r="M42" s="205">
        <f t="shared" si="8"/>
        <v>0.2702666631075995</v>
      </c>
      <c r="N42" s="763"/>
      <c r="O42" s="376">
        <f>'рабочая не печать '!$K$63</f>
        <v>2.2303703703703697</v>
      </c>
      <c r="P42" s="42"/>
      <c r="Q42" s="22">
        <f>'рабочая не печать '!$M$61</f>
        <v>51.25925925925926</v>
      </c>
      <c r="R42" s="385">
        <f>O42*'рабочая не печать '!$N$63</f>
        <v>209.48148148148147</v>
      </c>
      <c r="V42" s="776"/>
      <c r="W42" s="376">
        <v>0</v>
      </c>
      <c r="X42" s="42">
        <v>0</v>
      </c>
      <c r="Y42" s="393">
        <v>0</v>
      </c>
    </row>
    <row r="43" spans="1:25" ht="49.5" customHeight="1">
      <c r="A43" s="178">
        <v>6</v>
      </c>
      <c r="B43" s="22" t="s">
        <v>654</v>
      </c>
      <c r="C43" s="22" t="s">
        <v>689</v>
      </c>
      <c r="D43" s="42">
        <f>'исх.данные'!D42</f>
        <v>0.31</v>
      </c>
      <c r="E43" s="42">
        <v>0.31</v>
      </c>
      <c r="F43" s="42">
        <f>E43*'рабочая не печать '!$D$63</f>
        <v>65.52498388616193</v>
      </c>
      <c r="G43" s="22"/>
      <c r="H43" s="22">
        <v>11542</v>
      </c>
      <c r="I43" s="39">
        <f t="shared" si="7"/>
        <v>11542</v>
      </c>
      <c r="J43" s="402">
        <v>65.52</v>
      </c>
      <c r="K43" s="760"/>
      <c r="L43" s="766"/>
      <c r="M43" s="205">
        <f t="shared" si="8"/>
        <v>0.2702666631075995</v>
      </c>
      <c r="N43" s="763"/>
      <c r="O43" s="376">
        <f>'рабочая не печать '!$K$63</f>
        <v>2.2303703703703697</v>
      </c>
      <c r="P43" s="42"/>
      <c r="Q43" s="22">
        <f>'рабочая не печать '!$M$61</f>
        <v>51.25925925925926</v>
      </c>
      <c r="R43" s="385">
        <f>O43*'рабочая не печать '!$N$63</f>
        <v>209.48148148148147</v>
      </c>
      <c r="V43" s="776"/>
      <c r="W43" s="376">
        <v>0</v>
      </c>
      <c r="X43" s="42">
        <v>0</v>
      </c>
      <c r="Y43" s="393">
        <v>0</v>
      </c>
    </row>
    <row r="44" spans="1:25" ht="49.5" customHeight="1">
      <c r="A44" s="178">
        <v>7</v>
      </c>
      <c r="B44" s="22" t="s">
        <v>655</v>
      </c>
      <c r="C44" s="22" t="s">
        <v>689</v>
      </c>
      <c r="D44" s="42">
        <f>'исх.данные'!D43</f>
        <v>0.38</v>
      </c>
      <c r="E44" s="42">
        <v>0.38</v>
      </c>
      <c r="F44" s="42">
        <f>E44*'рабочая не печать '!$D$63</f>
        <v>80.32094798948883</v>
      </c>
      <c r="G44" s="22"/>
      <c r="H44" s="22">
        <v>1629</v>
      </c>
      <c r="I44" s="39">
        <f t="shared" si="7"/>
        <v>1629</v>
      </c>
      <c r="J44" s="402">
        <v>80.32</v>
      </c>
      <c r="K44" s="760"/>
      <c r="L44" s="766"/>
      <c r="M44" s="205">
        <f t="shared" si="8"/>
        <v>0.2702666631075995</v>
      </c>
      <c r="N44" s="763"/>
      <c r="O44" s="376">
        <f>'рабочая не печать '!$K$63</f>
        <v>2.2303703703703697</v>
      </c>
      <c r="P44" s="42"/>
      <c r="Q44" s="22">
        <f>'рабочая не печать '!$M$61</f>
        <v>51.25925925925926</v>
      </c>
      <c r="R44" s="385">
        <f>O44*'рабочая не печать '!$N$63</f>
        <v>209.48148148148147</v>
      </c>
      <c r="V44" s="776"/>
      <c r="W44" s="376">
        <v>0</v>
      </c>
      <c r="X44" s="42">
        <v>0</v>
      </c>
      <c r="Y44" s="393">
        <v>0</v>
      </c>
    </row>
    <row r="45" spans="1:25" ht="49.5" customHeight="1">
      <c r="A45" s="178">
        <v>8</v>
      </c>
      <c r="B45" s="22" t="s">
        <v>656</v>
      </c>
      <c r="C45" s="22" t="s">
        <v>689</v>
      </c>
      <c r="D45" s="42">
        <f>'исх.данные'!D44</f>
        <v>0.31</v>
      </c>
      <c r="E45" s="42">
        <v>0.31</v>
      </c>
      <c r="F45" s="42">
        <f>E45*'рабочая не печать '!$D$63</f>
        <v>65.52498388616193</v>
      </c>
      <c r="G45" s="22"/>
      <c r="H45" s="22">
        <v>2534</v>
      </c>
      <c r="I45" s="39">
        <f t="shared" si="7"/>
        <v>2534</v>
      </c>
      <c r="J45" s="402">
        <v>65.52</v>
      </c>
      <c r="K45" s="760"/>
      <c r="L45" s="766"/>
      <c r="M45" s="205">
        <f t="shared" si="8"/>
        <v>0.2702666631075995</v>
      </c>
      <c r="N45" s="763"/>
      <c r="O45" s="376">
        <f>'рабочая не печать '!$K$63</f>
        <v>2.2303703703703697</v>
      </c>
      <c r="P45" s="42"/>
      <c r="Q45" s="22">
        <f>'рабочая не печать '!$M$61</f>
        <v>51.25925925925926</v>
      </c>
      <c r="R45" s="385">
        <f>O45*'рабочая не печать '!$N$63</f>
        <v>209.48148148148147</v>
      </c>
      <c r="V45" s="776"/>
      <c r="W45" s="376">
        <v>0</v>
      </c>
      <c r="X45" s="42">
        <v>0</v>
      </c>
      <c r="Y45" s="393">
        <v>0</v>
      </c>
    </row>
    <row r="46" spans="1:25" ht="49.5" customHeight="1">
      <c r="A46" s="178">
        <v>9</v>
      </c>
      <c r="B46" s="22" t="s">
        <v>657</v>
      </c>
      <c r="C46" s="22" t="s">
        <v>689</v>
      </c>
      <c r="D46" s="42">
        <f>'исх.данные'!D45</f>
        <v>0.31</v>
      </c>
      <c r="E46" s="42">
        <v>0.31</v>
      </c>
      <c r="F46" s="42">
        <f>E46*'рабочая не печать '!$D$63</f>
        <v>65.52498388616193</v>
      </c>
      <c r="G46" s="22"/>
      <c r="H46" s="22">
        <v>1508</v>
      </c>
      <c r="I46" s="39">
        <f t="shared" si="7"/>
        <v>1508</v>
      </c>
      <c r="J46" s="402">
        <v>65.52</v>
      </c>
      <c r="K46" s="760"/>
      <c r="L46" s="766"/>
      <c r="M46" s="205">
        <f t="shared" si="8"/>
        <v>0.2702666631075995</v>
      </c>
      <c r="N46" s="763"/>
      <c r="O46" s="376">
        <f>'рабочая не печать '!$K$63</f>
        <v>2.2303703703703697</v>
      </c>
      <c r="P46" s="42"/>
      <c r="Q46" s="22">
        <f>'рабочая не печать '!$M$61</f>
        <v>51.25925925925926</v>
      </c>
      <c r="R46" s="385">
        <f>O46*'рабочая не печать '!$N$63</f>
        <v>209.48148148148147</v>
      </c>
      <c r="V46" s="776"/>
      <c r="W46" s="376">
        <v>0</v>
      </c>
      <c r="X46" s="42">
        <v>0</v>
      </c>
      <c r="Y46" s="393">
        <v>0</v>
      </c>
    </row>
    <row r="47" spans="1:25" ht="49.5" customHeight="1">
      <c r="A47" s="178">
        <v>10</v>
      </c>
      <c r="B47" s="22" t="s">
        <v>658</v>
      </c>
      <c r="C47" s="22" t="s">
        <v>689</v>
      </c>
      <c r="D47" s="42">
        <f>'исх.данные'!D46</f>
        <v>0.32</v>
      </c>
      <c r="E47" s="42">
        <v>0.32</v>
      </c>
      <c r="F47" s="42">
        <f>E47*'рабочая не печать '!$D$63</f>
        <v>67.63869304378007</v>
      </c>
      <c r="G47" s="22"/>
      <c r="H47" s="22">
        <v>1072</v>
      </c>
      <c r="I47" s="39">
        <f t="shared" si="7"/>
        <v>1072</v>
      </c>
      <c r="J47" s="402">
        <v>67.64</v>
      </c>
      <c r="K47" s="760"/>
      <c r="L47" s="766"/>
      <c r="M47" s="205">
        <f t="shared" si="8"/>
        <v>0.2702666631075995</v>
      </c>
      <c r="N47" s="763"/>
      <c r="O47" s="376">
        <f>'рабочая не печать '!$K$63</f>
        <v>2.2303703703703697</v>
      </c>
      <c r="P47" s="42"/>
      <c r="Q47" s="22">
        <f>'рабочая не печать '!$M$61</f>
        <v>51.25925925925926</v>
      </c>
      <c r="R47" s="385">
        <f>O47*'рабочая не печать '!$N$63</f>
        <v>209.48148148148147</v>
      </c>
      <c r="V47" s="776"/>
      <c r="W47" s="376">
        <v>0</v>
      </c>
      <c r="X47" s="42">
        <v>0</v>
      </c>
      <c r="Y47" s="393">
        <v>0</v>
      </c>
    </row>
    <row r="48" spans="1:25" ht="49.5" customHeight="1">
      <c r="A48" s="178">
        <v>11</v>
      </c>
      <c r="B48" s="22" t="s">
        <v>659</v>
      </c>
      <c r="C48" s="22" t="s">
        <v>689</v>
      </c>
      <c r="D48" s="42">
        <f>'исх.данные'!D47</f>
        <v>0.86</v>
      </c>
      <c r="E48" s="42">
        <v>0.86</v>
      </c>
      <c r="F48" s="42">
        <f>E48*'рабочая не печать '!$D$63</f>
        <v>181.77898755515892</v>
      </c>
      <c r="G48" s="22"/>
      <c r="H48" s="22">
        <v>1162</v>
      </c>
      <c r="I48" s="39">
        <f t="shared" si="7"/>
        <v>1162</v>
      </c>
      <c r="J48" s="402">
        <v>181.78</v>
      </c>
      <c r="K48" s="760"/>
      <c r="L48" s="766"/>
      <c r="M48" s="205">
        <f t="shared" si="8"/>
        <v>0.2702666631075995</v>
      </c>
      <c r="N48" s="763"/>
      <c r="O48" s="376">
        <f>'рабочая не печать '!$K$63</f>
        <v>2.2303703703703697</v>
      </c>
      <c r="P48" s="42"/>
      <c r="Q48" s="22">
        <f>'рабочая не печать '!$M$61</f>
        <v>51.25925925925926</v>
      </c>
      <c r="R48" s="385">
        <f>O48*'рабочая не печать '!$N$63</f>
        <v>209.48148148148147</v>
      </c>
      <c r="V48" s="776"/>
      <c r="W48" s="376">
        <v>0</v>
      </c>
      <c r="X48" s="42">
        <v>0</v>
      </c>
      <c r="Y48" s="393">
        <v>0</v>
      </c>
    </row>
    <row r="49" spans="1:25" ht="49.5" customHeight="1">
      <c r="A49" s="178">
        <v>12</v>
      </c>
      <c r="B49" s="22" t="s">
        <v>660</v>
      </c>
      <c r="C49" s="22" t="s">
        <v>689</v>
      </c>
      <c r="D49" s="42">
        <f>'исх.данные'!D48</f>
        <v>0.32</v>
      </c>
      <c r="E49" s="42">
        <v>0.32</v>
      </c>
      <c r="F49" s="42">
        <f>E49*'рабочая не печать '!$D$63</f>
        <v>67.63869304378007</v>
      </c>
      <c r="G49" s="22"/>
      <c r="H49" s="22">
        <v>455</v>
      </c>
      <c r="I49" s="39">
        <f t="shared" si="7"/>
        <v>455</v>
      </c>
      <c r="J49" s="402">
        <v>67.64</v>
      </c>
      <c r="K49" s="760"/>
      <c r="L49" s="766"/>
      <c r="M49" s="205">
        <f t="shared" si="8"/>
        <v>0.2702666631075995</v>
      </c>
      <c r="N49" s="763"/>
      <c r="O49" s="376">
        <f>'рабочая не печать '!$K$63</f>
        <v>2.2303703703703697</v>
      </c>
      <c r="P49" s="42"/>
      <c r="Q49" s="22">
        <f>'рабочая не печать '!$M$61</f>
        <v>51.25925925925926</v>
      </c>
      <c r="R49" s="385">
        <f>O49*'рабочая не печать '!$N$63</f>
        <v>209.48148148148147</v>
      </c>
      <c r="V49" s="776"/>
      <c r="W49" s="376">
        <v>0</v>
      </c>
      <c r="X49" s="42">
        <v>0</v>
      </c>
      <c r="Y49" s="393">
        <v>0</v>
      </c>
    </row>
    <row r="50" spans="1:25" ht="49.5" customHeight="1">
      <c r="A50" s="178">
        <v>13</v>
      </c>
      <c r="B50" s="22" t="s">
        <v>661</v>
      </c>
      <c r="C50" s="22" t="s">
        <v>689</v>
      </c>
      <c r="D50" s="42">
        <f>'исх.данные'!D49</f>
        <v>0.32</v>
      </c>
      <c r="E50" s="42">
        <v>0.32</v>
      </c>
      <c r="F50" s="42">
        <f>E50*'рабочая не печать '!$D$63</f>
        <v>67.63869304378007</v>
      </c>
      <c r="G50" s="22"/>
      <c r="H50" s="22">
        <v>670</v>
      </c>
      <c r="I50" s="39">
        <f t="shared" si="7"/>
        <v>670</v>
      </c>
      <c r="J50" s="402">
        <v>67.64</v>
      </c>
      <c r="K50" s="760"/>
      <c r="L50" s="766"/>
      <c r="M50" s="205">
        <f t="shared" si="8"/>
        <v>0.2702666631075995</v>
      </c>
      <c r="N50" s="763"/>
      <c r="O50" s="376">
        <f>'рабочая не печать '!$K$63</f>
        <v>2.2303703703703697</v>
      </c>
      <c r="P50" s="42"/>
      <c r="Q50" s="22">
        <f>'рабочая не печать '!$M$61</f>
        <v>51.25925925925926</v>
      </c>
      <c r="R50" s="385">
        <f>O50*'рабочая не печать '!$N$63</f>
        <v>209.48148148148147</v>
      </c>
      <c r="V50" s="776"/>
      <c r="W50" s="376">
        <v>0</v>
      </c>
      <c r="X50" s="42">
        <v>0</v>
      </c>
      <c r="Y50" s="393">
        <v>0</v>
      </c>
    </row>
    <row r="51" spans="1:25" ht="49.5" customHeight="1">
      <c r="A51" s="178">
        <v>14</v>
      </c>
      <c r="B51" s="22" t="s">
        <v>662</v>
      </c>
      <c r="C51" s="22" t="s">
        <v>689</v>
      </c>
      <c r="D51" s="42">
        <f>'исх.данные'!D50</f>
        <v>0.15</v>
      </c>
      <c r="E51" s="42">
        <v>0.15</v>
      </c>
      <c r="F51" s="42">
        <f>E51*'рабочая не печать '!$D$63</f>
        <v>31.705637364271904</v>
      </c>
      <c r="G51" s="22"/>
      <c r="H51" s="22">
        <v>1446</v>
      </c>
      <c r="I51" s="39">
        <f t="shared" si="7"/>
        <v>1446</v>
      </c>
      <c r="J51" s="402">
        <v>31.71</v>
      </c>
      <c r="K51" s="760"/>
      <c r="L51" s="766"/>
      <c r="M51" s="205">
        <f t="shared" si="8"/>
        <v>0.2702666631075995</v>
      </c>
      <c r="N51" s="763"/>
      <c r="O51" s="376">
        <f>'рабочая не печать '!$K$63</f>
        <v>2.2303703703703697</v>
      </c>
      <c r="P51" s="42"/>
      <c r="Q51" s="22">
        <f>'рабочая не печать '!$M$61</f>
        <v>51.25925925925926</v>
      </c>
      <c r="R51" s="385">
        <f>O51*'рабочая не печать '!$N$63</f>
        <v>209.48148148148147</v>
      </c>
      <c r="V51" s="776"/>
      <c r="W51" s="376">
        <v>0</v>
      </c>
      <c r="X51" s="42">
        <v>0</v>
      </c>
      <c r="Y51" s="393">
        <v>0</v>
      </c>
    </row>
    <row r="52" spans="1:25" ht="49.5" customHeight="1">
      <c r="A52" s="178">
        <v>15</v>
      </c>
      <c r="B52" s="22" t="s">
        <v>663</v>
      </c>
      <c r="C52" s="22" t="s">
        <v>689</v>
      </c>
      <c r="D52" s="42">
        <f>'исх.данные'!D51</f>
        <v>0.8</v>
      </c>
      <c r="E52" s="42">
        <v>0.8</v>
      </c>
      <c r="F52" s="42">
        <f>E52*'рабочая не печать '!$D$63</f>
        <v>169.09673260945019</v>
      </c>
      <c r="G52" s="22"/>
      <c r="H52" s="22">
        <v>2981</v>
      </c>
      <c r="I52" s="39">
        <f t="shared" si="7"/>
        <v>2981</v>
      </c>
      <c r="J52" s="402">
        <v>169.1</v>
      </c>
      <c r="K52" s="760"/>
      <c r="L52" s="766"/>
      <c r="M52" s="205">
        <f t="shared" si="8"/>
        <v>0.2702666631075995</v>
      </c>
      <c r="N52" s="763"/>
      <c r="O52" s="376">
        <f>'рабочая не печать '!$K$63</f>
        <v>2.2303703703703697</v>
      </c>
      <c r="P52" s="42"/>
      <c r="Q52" s="22">
        <f>'рабочая не печать '!$M$61</f>
        <v>51.25925925925926</v>
      </c>
      <c r="R52" s="385">
        <f>O52*'рабочая не печать '!$N$63</f>
        <v>209.48148148148147</v>
      </c>
      <c r="V52" s="776"/>
      <c r="W52" s="376">
        <v>0</v>
      </c>
      <c r="X52" s="42">
        <v>0</v>
      </c>
      <c r="Y52" s="393">
        <v>0</v>
      </c>
    </row>
    <row r="53" spans="1:25" ht="49.5" customHeight="1" thickBot="1">
      <c r="A53" s="178">
        <v>16</v>
      </c>
      <c r="B53" s="47" t="s">
        <v>665</v>
      </c>
      <c r="C53" s="47" t="s">
        <v>689</v>
      </c>
      <c r="D53" s="42">
        <f>'исх.данные'!D52</f>
        <v>0.11</v>
      </c>
      <c r="E53" s="49">
        <v>0.11</v>
      </c>
      <c r="F53" s="42">
        <f>E53*'рабочая не печать '!$D$63</f>
        <v>23.250800733799398</v>
      </c>
      <c r="G53" s="47"/>
      <c r="H53" s="47">
        <v>745</v>
      </c>
      <c r="I53" s="160">
        <f t="shared" si="7"/>
        <v>745</v>
      </c>
      <c r="J53" s="402">
        <v>23.25</v>
      </c>
      <c r="K53" s="761"/>
      <c r="L53" s="767"/>
      <c r="M53" s="205">
        <f t="shared" si="8"/>
        <v>0.2702666631075995</v>
      </c>
      <c r="N53" s="764"/>
      <c r="O53" s="376">
        <f>'рабочая не печать '!$K$63</f>
        <v>2.2303703703703697</v>
      </c>
      <c r="P53" s="49"/>
      <c r="Q53" s="22">
        <f>'рабочая не печать '!$M$61</f>
        <v>51.25925925925926</v>
      </c>
      <c r="R53" s="385">
        <f>O53*'рабочая не печать '!$N$63</f>
        <v>209.48148148148147</v>
      </c>
      <c r="V53" s="777"/>
      <c r="W53" s="377">
        <v>0</v>
      </c>
      <c r="X53" s="42">
        <v>0</v>
      </c>
      <c r="Y53" s="393">
        <v>0</v>
      </c>
    </row>
    <row r="54" spans="1:25" s="231" customFormat="1" ht="58.5" customHeight="1" thickBot="1">
      <c r="A54" s="198"/>
      <c r="B54" s="200" t="s">
        <v>666</v>
      </c>
      <c r="C54" s="200">
        <v>16</v>
      </c>
      <c r="D54" s="199">
        <f aca="true" t="shared" si="9" ref="D54:P54">SUM(D34:D53)</f>
        <v>7.930000000000001</v>
      </c>
      <c r="E54" s="199">
        <f t="shared" si="9"/>
        <v>8.59</v>
      </c>
      <c r="F54" s="199">
        <f t="shared" si="9"/>
        <v>1610.6463781050127</v>
      </c>
      <c r="G54" s="200">
        <f t="shared" si="9"/>
        <v>9462</v>
      </c>
      <c r="H54" s="200">
        <f t="shared" si="9"/>
        <v>37463</v>
      </c>
      <c r="I54" s="200">
        <f t="shared" si="9"/>
        <v>46925</v>
      </c>
      <c r="J54" s="404">
        <f t="shared" si="9"/>
        <v>1610.64</v>
      </c>
      <c r="K54" s="406" t="e">
        <f>SUM(K34:K53)</f>
        <v>#REF!</v>
      </c>
      <c r="L54" s="220"/>
      <c r="M54" s="199" t="e">
        <f>K54/I54</f>
        <v>#REF!</v>
      </c>
      <c r="N54" s="175" t="e">
        <f>SUM(N34:N53)</f>
        <v>#REF!</v>
      </c>
      <c r="O54" s="378">
        <f t="shared" si="9"/>
        <v>35.685925925925915</v>
      </c>
      <c r="P54" s="199">
        <f t="shared" si="9"/>
        <v>0</v>
      </c>
      <c r="Q54" s="200">
        <f>SUM(Q34:Q53)/C54</f>
        <v>51.259259259259245</v>
      </c>
      <c r="R54" s="387">
        <f>SUM(R34:R53)</f>
        <v>3351.7037037037026</v>
      </c>
      <c r="V54" s="175">
        <f>SUM(V34:V53)</f>
        <v>11.5234173</v>
      </c>
      <c r="W54" s="380">
        <f>SUM(W34:W53)</f>
        <v>0</v>
      </c>
      <c r="X54" s="175">
        <f>SUM(X34:X53)</f>
        <v>0</v>
      </c>
      <c r="Y54" s="396">
        <f>SUM(Y34:Y53)</f>
        <v>0</v>
      </c>
    </row>
    <row r="55" spans="1:25" s="233" customFormat="1" ht="49.5" customHeight="1">
      <c r="A55" s="161"/>
      <c r="B55" s="176" t="s">
        <v>667</v>
      </c>
      <c r="C55" s="171"/>
      <c r="D55" s="174"/>
      <c r="E55" s="76"/>
      <c r="F55" s="76"/>
      <c r="G55" s="176"/>
      <c r="H55" s="176"/>
      <c r="I55" s="176"/>
      <c r="J55" s="400"/>
      <c r="K55" s="400"/>
      <c r="L55" s="176"/>
      <c r="M55" s="76"/>
      <c r="N55" s="76"/>
      <c r="O55" s="375"/>
      <c r="P55" s="76"/>
      <c r="Q55" s="171"/>
      <c r="R55" s="385"/>
      <c r="V55" s="174"/>
      <c r="W55" s="375"/>
      <c r="X55" s="76"/>
      <c r="Y55" s="392"/>
    </row>
    <row r="56" spans="1:25" ht="49.5" customHeight="1">
      <c r="A56" s="823">
        <v>1</v>
      </c>
      <c r="B56" s="772" t="s">
        <v>694</v>
      </c>
      <c r="C56" s="771" t="s">
        <v>222</v>
      </c>
      <c r="D56" s="773">
        <v>20</v>
      </c>
      <c r="E56" s="42">
        <f>SUM(20/148074)*(G56+H56)</f>
        <v>14.840282561421992</v>
      </c>
      <c r="F56" s="774">
        <f>D56*'рабочая не печать '!$D$63</f>
        <v>4227.418315236254</v>
      </c>
      <c r="G56" s="22">
        <v>109489</v>
      </c>
      <c r="H56" s="22">
        <v>384</v>
      </c>
      <c r="I56" s="39">
        <f>SUM(G56,H56:H67)</f>
        <v>148074.3</v>
      </c>
      <c r="J56" s="814">
        <v>4227.42</v>
      </c>
      <c r="K56" s="407" t="e">
        <f aca="true" t="shared" si="10" ref="K56:K67">M56*I56</f>
        <v>#REF!</v>
      </c>
      <c r="L56" s="229" t="s">
        <v>553</v>
      </c>
      <c r="M56" s="179" t="e">
        <f>0.375*(2.34/3.43)*#REF!</f>
        <v>#REF!</v>
      </c>
      <c r="N56" s="169" t="e">
        <f aca="true" t="shared" si="11" ref="N56:N67">SUM(K56*0.05)</f>
        <v>#REF!</v>
      </c>
      <c r="O56" s="807">
        <f>'рабочая не печать '!$K$63</f>
        <v>2.2303703703703697</v>
      </c>
      <c r="P56" s="774"/>
      <c r="Q56" s="772">
        <v>51.25925925925926</v>
      </c>
      <c r="R56" s="806">
        <f>O56*'рабочая не печать '!$N$63</f>
        <v>209.48148148148147</v>
      </c>
      <c r="V56" s="38">
        <f>SUM(E56*2.34*1.163)</f>
        <v>40.38664176830504</v>
      </c>
      <c r="W56" s="376">
        <v>0</v>
      </c>
      <c r="X56" s="42">
        <v>0</v>
      </c>
      <c r="Y56" s="393">
        <v>0</v>
      </c>
    </row>
    <row r="57" spans="1:25" ht="49.5" customHeight="1">
      <c r="A57" s="831"/>
      <c r="B57" s="833"/>
      <c r="C57" s="771"/>
      <c r="D57" s="773"/>
      <c r="E57" s="42">
        <f>SUM(20/148074)*H57</f>
        <v>0.21097559328443885</v>
      </c>
      <c r="F57" s="808"/>
      <c r="G57" s="39"/>
      <c r="H57" s="22">
        <v>1562</v>
      </c>
      <c r="I57" s="39">
        <f aca="true" t="shared" si="12" ref="I57:I67">SUM(G57,H57:H68)</f>
        <v>76786.6</v>
      </c>
      <c r="J57" s="816"/>
      <c r="K57" s="407" t="e">
        <f t="shared" si="10"/>
        <v>#REF!</v>
      </c>
      <c r="L57" s="229" t="s">
        <v>133</v>
      </c>
      <c r="M57" s="179" t="e">
        <f>0.29*(2.34/3.43)*#REF!</f>
        <v>#REF!</v>
      </c>
      <c r="N57" s="169" t="e">
        <f t="shared" si="11"/>
        <v>#REF!</v>
      </c>
      <c r="O57" s="835"/>
      <c r="P57" s="809"/>
      <c r="Q57" s="833"/>
      <c r="R57" s="819"/>
      <c r="V57" s="38">
        <f aca="true" t="shared" si="13" ref="V57:V67">SUM(E57*2.34*1.163)</f>
        <v>0.5741531990761376</v>
      </c>
      <c r="W57" s="376">
        <v>0</v>
      </c>
      <c r="X57" s="42">
        <v>0</v>
      </c>
      <c r="Y57" s="393">
        <v>0</v>
      </c>
    </row>
    <row r="58" spans="1:25" ht="49.5" customHeight="1">
      <c r="A58" s="831"/>
      <c r="B58" s="833"/>
      <c r="C58" s="771"/>
      <c r="D58" s="773"/>
      <c r="E58" s="42">
        <f aca="true" t="shared" si="14" ref="E58:E67">SUM(20/148074)*H58</f>
        <v>0.8324216270243256</v>
      </c>
      <c r="F58" s="808"/>
      <c r="G58" s="39"/>
      <c r="H58" s="22">
        <v>6163</v>
      </c>
      <c r="I58" s="39">
        <f t="shared" si="12"/>
        <v>75224.6</v>
      </c>
      <c r="J58" s="816"/>
      <c r="K58" s="407" t="e">
        <f t="shared" si="10"/>
        <v>#REF!</v>
      </c>
      <c r="L58" s="229" t="s">
        <v>133</v>
      </c>
      <c r="M58" s="179" t="e">
        <f>0.29*(2.34/3.43)*#REF!</f>
        <v>#REF!</v>
      </c>
      <c r="N58" s="169" t="e">
        <f t="shared" si="11"/>
        <v>#REF!</v>
      </c>
      <c r="O58" s="835"/>
      <c r="P58" s="809"/>
      <c r="Q58" s="833"/>
      <c r="R58" s="819"/>
      <c r="V58" s="38">
        <f t="shared" si="13"/>
        <v>2.26536886421654</v>
      </c>
      <c r="W58" s="376">
        <v>0</v>
      </c>
      <c r="X58" s="42">
        <v>0</v>
      </c>
      <c r="Y58" s="393">
        <v>0</v>
      </c>
    </row>
    <row r="59" spans="1:25" ht="49.5" customHeight="1">
      <c r="A59" s="831"/>
      <c r="B59" s="833"/>
      <c r="C59" s="771"/>
      <c r="D59" s="773"/>
      <c r="E59" s="42">
        <f t="shared" si="14"/>
        <v>0.7975741858800329</v>
      </c>
      <c r="F59" s="808"/>
      <c r="G59" s="39"/>
      <c r="H59" s="22">
        <v>5905</v>
      </c>
      <c r="I59" s="39">
        <f t="shared" si="12"/>
        <v>69061.6</v>
      </c>
      <c r="J59" s="816"/>
      <c r="K59" s="407" t="e">
        <f t="shared" si="10"/>
        <v>#REF!</v>
      </c>
      <c r="L59" s="229" t="s">
        <v>133</v>
      </c>
      <c r="M59" s="179" t="e">
        <f>0.29*(2.34/3.43)*#REF!</f>
        <v>#REF!</v>
      </c>
      <c r="N59" s="169" t="e">
        <f t="shared" si="11"/>
        <v>#REF!</v>
      </c>
      <c r="O59" s="835"/>
      <c r="P59" s="809"/>
      <c r="Q59" s="833"/>
      <c r="R59" s="819"/>
      <c r="V59" s="38">
        <f t="shared" si="13"/>
        <v>2.170534340937639</v>
      </c>
      <c r="W59" s="376">
        <v>0</v>
      </c>
      <c r="X59" s="42">
        <v>0</v>
      </c>
      <c r="Y59" s="393">
        <v>0</v>
      </c>
    </row>
    <row r="60" spans="1:25" ht="49.5" customHeight="1">
      <c r="A60" s="831"/>
      <c r="B60" s="833"/>
      <c r="C60" s="771"/>
      <c r="D60" s="773"/>
      <c r="E60" s="42">
        <f t="shared" si="14"/>
        <v>0.08117562840201521</v>
      </c>
      <c r="F60" s="808"/>
      <c r="G60" s="39"/>
      <c r="H60" s="22">
        <v>601</v>
      </c>
      <c r="I60" s="39">
        <f t="shared" si="12"/>
        <v>65679.6</v>
      </c>
      <c r="J60" s="816"/>
      <c r="K60" s="407" t="e">
        <f t="shared" si="10"/>
        <v>#REF!</v>
      </c>
      <c r="L60" s="229" t="s">
        <v>133</v>
      </c>
      <c r="M60" s="179" t="e">
        <f>0.29*(2.34/3.43)*#REF!</f>
        <v>#REF!</v>
      </c>
      <c r="N60" s="169" t="e">
        <f t="shared" si="11"/>
        <v>#REF!</v>
      </c>
      <c r="O60" s="835"/>
      <c r="P60" s="809"/>
      <c r="Q60" s="833"/>
      <c r="R60" s="819"/>
      <c r="V60" s="38">
        <f t="shared" si="13"/>
        <v>0.22091297864581222</v>
      </c>
      <c r="W60" s="376">
        <v>0</v>
      </c>
      <c r="X60" s="42">
        <v>0</v>
      </c>
      <c r="Y60" s="393">
        <v>0</v>
      </c>
    </row>
    <row r="61" spans="1:25" ht="49.5" customHeight="1">
      <c r="A61" s="831"/>
      <c r="B61" s="833"/>
      <c r="C61" s="771"/>
      <c r="D61" s="773"/>
      <c r="E61" s="42">
        <f t="shared" si="14"/>
        <v>0.12601807204505855</v>
      </c>
      <c r="F61" s="808"/>
      <c r="G61" s="39"/>
      <c r="H61" s="22">
        <v>933</v>
      </c>
      <c r="I61" s="39">
        <f t="shared" si="12"/>
        <v>67601.6</v>
      </c>
      <c r="J61" s="816"/>
      <c r="K61" s="407" t="e">
        <f t="shared" si="10"/>
        <v>#REF!</v>
      </c>
      <c r="L61" s="229" t="s">
        <v>133</v>
      </c>
      <c r="M61" s="179" t="e">
        <f>0.29*(2.34/3.43)*#REF!</f>
        <v>#REF!</v>
      </c>
      <c r="N61" s="169" t="e">
        <f t="shared" si="11"/>
        <v>#REF!</v>
      </c>
      <c r="O61" s="835"/>
      <c r="P61" s="809"/>
      <c r="Q61" s="833"/>
      <c r="R61" s="819"/>
      <c r="V61" s="38">
        <f t="shared" si="13"/>
        <v>0.3429481016248632</v>
      </c>
      <c r="W61" s="376">
        <v>0</v>
      </c>
      <c r="X61" s="42">
        <v>0</v>
      </c>
      <c r="Y61" s="393">
        <v>0</v>
      </c>
    </row>
    <row r="62" spans="1:25" ht="49.5" customHeight="1">
      <c r="A62" s="831"/>
      <c r="B62" s="833"/>
      <c r="C62" s="771"/>
      <c r="D62" s="773"/>
      <c r="E62" s="42">
        <f t="shared" si="14"/>
        <v>0.23906965436200817</v>
      </c>
      <c r="F62" s="808"/>
      <c r="G62" s="39"/>
      <c r="H62" s="22">
        <v>1770</v>
      </c>
      <c r="I62" s="39">
        <f t="shared" si="12"/>
        <v>66668.6</v>
      </c>
      <c r="J62" s="816"/>
      <c r="K62" s="407" t="e">
        <f t="shared" si="10"/>
        <v>#REF!</v>
      </c>
      <c r="L62" s="229" t="s">
        <v>133</v>
      </c>
      <c r="M62" s="179" t="e">
        <f>0.29*(2.34/3.43)*#REF!</f>
        <v>#REF!</v>
      </c>
      <c r="N62" s="169" t="e">
        <f t="shared" si="11"/>
        <v>#REF!</v>
      </c>
      <c r="O62" s="835"/>
      <c r="P62" s="809"/>
      <c r="Q62" s="833"/>
      <c r="R62" s="819"/>
      <c r="V62" s="38">
        <f t="shared" si="13"/>
        <v>0.6506089387738562</v>
      </c>
      <c r="W62" s="376">
        <v>0</v>
      </c>
      <c r="X62" s="42">
        <v>0</v>
      </c>
      <c r="Y62" s="393">
        <v>0</v>
      </c>
    </row>
    <row r="63" spans="1:25" ht="49.5" customHeight="1">
      <c r="A63" s="831"/>
      <c r="B63" s="833"/>
      <c r="C63" s="771"/>
      <c r="D63" s="773"/>
      <c r="E63" s="42">
        <f t="shared" si="14"/>
        <v>1.2021016518767642</v>
      </c>
      <c r="F63" s="808"/>
      <c r="G63" s="39"/>
      <c r="H63" s="22">
        <v>8900</v>
      </c>
      <c r="I63" s="39">
        <f t="shared" si="12"/>
        <v>70298.6</v>
      </c>
      <c r="J63" s="816"/>
      <c r="K63" s="407" t="e">
        <f t="shared" si="10"/>
        <v>#REF!</v>
      </c>
      <c r="L63" s="229" t="s">
        <v>133</v>
      </c>
      <c r="M63" s="179" t="e">
        <f>0.29*(2.34/3.43)*#REF!</f>
        <v>#REF!</v>
      </c>
      <c r="N63" s="169" t="e">
        <f t="shared" si="11"/>
        <v>#REF!</v>
      </c>
      <c r="O63" s="835"/>
      <c r="P63" s="809"/>
      <c r="Q63" s="833"/>
      <c r="R63" s="819"/>
      <c r="V63" s="38">
        <f t="shared" si="13"/>
        <v>3.2714234774504636</v>
      </c>
      <c r="W63" s="376">
        <v>0</v>
      </c>
      <c r="X63" s="42">
        <v>0</v>
      </c>
      <c r="Y63" s="393">
        <v>0</v>
      </c>
    </row>
    <row r="64" spans="1:25" ht="49.5" customHeight="1">
      <c r="A64" s="831"/>
      <c r="B64" s="833"/>
      <c r="C64" s="771"/>
      <c r="D64" s="773"/>
      <c r="E64" s="42">
        <f t="shared" si="14"/>
        <v>0.28013020516768644</v>
      </c>
      <c r="F64" s="808"/>
      <c r="G64" s="39"/>
      <c r="H64" s="22">
        <v>2074</v>
      </c>
      <c r="I64" s="39">
        <f t="shared" si="12"/>
        <v>61598.600000000006</v>
      </c>
      <c r="J64" s="816"/>
      <c r="K64" s="407" t="e">
        <f t="shared" si="10"/>
        <v>#REF!</v>
      </c>
      <c r="L64" s="229" t="s">
        <v>133</v>
      </c>
      <c r="M64" s="179" t="e">
        <f>0.29*(2.34/3.43)*#REF!</f>
        <v>#REF!</v>
      </c>
      <c r="N64" s="169" t="e">
        <f t="shared" si="11"/>
        <v>#REF!</v>
      </c>
      <c r="O64" s="835"/>
      <c r="P64" s="809"/>
      <c r="Q64" s="833"/>
      <c r="R64" s="819"/>
      <c r="V64" s="38">
        <f t="shared" si="13"/>
        <v>0.7623519429474452</v>
      </c>
      <c r="W64" s="376">
        <v>0</v>
      </c>
      <c r="X64" s="42">
        <v>0</v>
      </c>
      <c r="Y64" s="393">
        <v>0</v>
      </c>
    </row>
    <row r="65" spans="1:25" ht="49.5" customHeight="1">
      <c r="A65" s="831"/>
      <c r="B65" s="833"/>
      <c r="C65" s="771"/>
      <c r="D65" s="773"/>
      <c r="E65" s="42">
        <f t="shared" si="14"/>
        <v>0.5105555330442887</v>
      </c>
      <c r="F65" s="808"/>
      <c r="G65" s="39"/>
      <c r="H65" s="22">
        <v>3780</v>
      </c>
      <c r="I65" s="39">
        <f t="shared" si="12"/>
        <v>65624.6</v>
      </c>
      <c r="J65" s="816"/>
      <c r="K65" s="407" t="e">
        <f t="shared" si="10"/>
        <v>#REF!</v>
      </c>
      <c r="L65" s="229" t="s">
        <v>133</v>
      </c>
      <c r="M65" s="179" t="e">
        <f>0.29*(2.34/3.43)*#REF!</f>
        <v>#REF!</v>
      </c>
      <c r="N65" s="169" t="e">
        <f t="shared" si="11"/>
        <v>#REF!</v>
      </c>
      <c r="O65" s="835"/>
      <c r="P65" s="809"/>
      <c r="Q65" s="833"/>
      <c r="R65" s="819"/>
      <c r="V65" s="38">
        <f t="shared" si="13"/>
        <v>1.389436038737388</v>
      </c>
      <c r="W65" s="376">
        <v>0</v>
      </c>
      <c r="X65" s="42">
        <v>0</v>
      </c>
      <c r="Y65" s="393">
        <v>0</v>
      </c>
    </row>
    <row r="66" spans="1:25" ht="49.5" customHeight="1">
      <c r="A66" s="831"/>
      <c r="B66" s="833"/>
      <c r="C66" s="771"/>
      <c r="D66" s="773"/>
      <c r="E66" s="42">
        <f t="shared" si="14"/>
        <v>0.14060537298918108</v>
      </c>
      <c r="F66" s="808"/>
      <c r="G66" s="39"/>
      <c r="H66" s="22">
        <v>1041</v>
      </c>
      <c r="I66" s="39">
        <f t="shared" si="12"/>
        <v>61844.600000000006</v>
      </c>
      <c r="J66" s="816"/>
      <c r="K66" s="407" t="e">
        <f t="shared" si="10"/>
        <v>#REF!</v>
      </c>
      <c r="L66" s="229" t="s">
        <v>133</v>
      </c>
      <c r="M66" s="179" t="e">
        <f>0.29*(2.34/3.43)*#REF!</f>
        <v>#REF!</v>
      </c>
      <c r="N66" s="169" t="e">
        <f t="shared" si="11"/>
        <v>#REF!</v>
      </c>
      <c r="O66" s="835"/>
      <c r="P66" s="809"/>
      <c r="Q66" s="833"/>
      <c r="R66" s="819"/>
      <c r="V66" s="38">
        <f t="shared" si="13"/>
        <v>0.3826462741602172</v>
      </c>
      <c r="W66" s="376">
        <v>0</v>
      </c>
      <c r="X66" s="42">
        <v>0</v>
      </c>
      <c r="Y66" s="393">
        <v>0</v>
      </c>
    </row>
    <row r="67" spans="1:25" ht="49.5" customHeight="1" thickBot="1">
      <c r="A67" s="832"/>
      <c r="B67" s="834"/>
      <c r="C67" s="772"/>
      <c r="D67" s="774"/>
      <c r="E67" s="49">
        <f t="shared" si="14"/>
        <v>0.7391304347826086</v>
      </c>
      <c r="F67" s="821"/>
      <c r="G67" s="160"/>
      <c r="H67" s="47">
        <v>5472.3</v>
      </c>
      <c r="I67" s="39">
        <f t="shared" si="12"/>
        <v>66958.6</v>
      </c>
      <c r="J67" s="817"/>
      <c r="K67" s="407" t="e">
        <f t="shared" si="10"/>
        <v>#REF!</v>
      </c>
      <c r="L67" s="232" t="s">
        <v>133</v>
      </c>
      <c r="M67" s="179" t="e">
        <f>0.29*(2.34/3.43)*#REF!</f>
        <v>#REF!</v>
      </c>
      <c r="N67" s="179" t="e">
        <f t="shared" si="11"/>
        <v>#REF!</v>
      </c>
      <c r="O67" s="836"/>
      <c r="P67" s="837"/>
      <c r="Q67" s="834"/>
      <c r="R67" s="820"/>
      <c r="V67" s="38">
        <f t="shared" si="13"/>
        <v>2.011484347826087</v>
      </c>
      <c r="W67" s="376">
        <v>0</v>
      </c>
      <c r="X67" s="42">
        <v>0</v>
      </c>
      <c r="Y67" s="393">
        <v>0</v>
      </c>
    </row>
    <row r="68" spans="1:25" s="231" customFormat="1" ht="61.5" customHeight="1" thickBot="1">
      <c r="A68" s="198"/>
      <c r="B68" s="200" t="s">
        <v>681</v>
      </c>
      <c r="C68" s="200">
        <v>1</v>
      </c>
      <c r="D68" s="199">
        <f aca="true" t="shared" si="15" ref="D68:R68">SUM(D56:D67)</f>
        <v>20</v>
      </c>
      <c r="E68" s="199">
        <f t="shared" si="15"/>
        <v>20.000040520280404</v>
      </c>
      <c r="F68" s="199">
        <f t="shared" si="15"/>
        <v>4227.418315236254</v>
      </c>
      <c r="G68" s="200">
        <f>SUM(G56:G67)</f>
        <v>109489</v>
      </c>
      <c r="H68" s="200">
        <f>SUM(H56:H67)</f>
        <v>38585.3</v>
      </c>
      <c r="I68" s="200">
        <f>SUM(I56:I67)</f>
        <v>895421.8999999998</v>
      </c>
      <c r="J68" s="404">
        <f>SUM(J56:J67)</f>
        <v>4227.42</v>
      </c>
      <c r="K68" s="406" t="e">
        <f>SUM(K56:K67)</f>
        <v>#REF!</v>
      </c>
      <c r="L68" s="220"/>
      <c r="M68" s="199" t="e">
        <f>K68/I68</f>
        <v>#REF!</v>
      </c>
      <c r="N68" s="175" t="e">
        <f>SUM(N56:N67)</f>
        <v>#REF!</v>
      </c>
      <c r="O68" s="378">
        <f t="shared" si="15"/>
        <v>2.2303703703703697</v>
      </c>
      <c r="P68" s="199">
        <f t="shared" si="15"/>
        <v>0</v>
      </c>
      <c r="Q68" s="200">
        <f t="shared" si="15"/>
        <v>51.25925925925926</v>
      </c>
      <c r="R68" s="387">
        <f t="shared" si="15"/>
        <v>209.48148148148147</v>
      </c>
      <c r="V68" s="199">
        <f>SUM(V56:V67)</f>
        <v>54.42851027270148</v>
      </c>
      <c r="W68" s="378">
        <f>SUM(W56:W67)</f>
        <v>0</v>
      </c>
      <c r="X68" s="199">
        <f>SUM(X56:X67)</f>
        <v>0</v>
      </c>
      <c r="Y68" s="395">
        <f>SUM(Y56:Y67)</f>
        <v>0</v>
      </c>
    </row>
    <row r="69" spans="1:25" s="234" customFormat="1" ht="49.5" customHeight="1">
      <c r="A69" s="225"/>
      <c r="B69" s="223" t="s">
        <v>682</v>
      </c>
      <c r="C69" s="226"/>
      <c r="D69" s="222"/>
      <c r="E69" s="227"/>
      <c r="F69" s="227"/>
      <c r="G69" s="223"/>
      <c r="H69" s="223"/>
      <c r="I69" s="223"/>
      <c r="J69" s="408"/>
      <c r="K69" s="408"/>
      <c r="L69" s="223"/>
      <c r="M69" s="227"/>
      <c r="N69" s="227"/>
      <c r="O69" s="381"/>
      <c r="P69" s="227"/>
      <c r="Q69" s="226"/>
      <c r="R69" s="388"/>
      <c r="V69" s="222"/>
      <c r="W69" s="381"/>
      <c r="X69" s="227"/>
      <c r="Y69" s="397"/>
    </row>
    <row r="70" spans="1:25" ht="49.5" customHeight="1">
      <c r="A70" s="178">
        <v>1</v>
      </c>
      <c r="B70" s="22" t="s">
        <v>683</v>
      </c>
      <c r="C70" s="22" t="s">
        <v>684</v>
      </c>
      <c r="D70" s="42">
        <v>0.43</v>
      </c>
      <c r="E70" s="42">
        <v>0.43</v>
      </c>
      <c r="F70" s="42">
        <v>40</v>
      </c>
      <c r="G70" s="22">
        <v>2468</v>
      </c>
      <c r="H70" s="39"/>
      <c r="I70" s="39">
        <f>SUM(G70+H70)</f>
        <v>2468</v>
      </c>
      <c r="J70" s="402">
        <v>40</v>
      </c>
      <c r="K70" s="407" t="e">
        <f>SUM(M70*I70)</f>
        <v>#REF!</v>
      </c>
      <c r="L70" s="229" t="s">
        <v>133</v>
      </c>
      <c r="M70" s="179" t="e">
        <f>0.29*(2.34/3.43)*#REF!</f>
        <v>#REF!</v>
      </c>
      <c r="N70" s="169" t="e">
        <f>SUM(K70*0.05)</f>
        <v>#REF!</v>
      </c>
      <c r="O70" s="376">
        <v>1</v>
      </c>
      <c r="P70" s="253"/>
      <c r="Q70" s="248">
        <f>'рабочая не печать '!M11</f>
        <v>50</v>
      </c>
      <c r="R70" s="385">
        <v>100</v>
      </c>
      <c r="V70" s="38">
        <f>SUM(E70*2.34*1.163)</f>
        <v>1.1702106</v>
      </c>
      <c r="W70" s="376">
        <v>0</v>
      </c>
      <c r="X70" s="42">
        <v>0</v>
      </c>
      <c r="Y70" s="393">
        <v>0</v>
      </c>
    </row>
    <row r="71" spans="1:25" ht="60.75" customHeight="1" thickBot="1">
      <c r="A71" s="173">
        <v>2</v>
      </c>
      <c r="B71" s="47" t="s">
        <v>687</v>
      </c>
      <c r="C71" s="47" t="s">
        <v>688</v>
      </c>
      <c r="D71" s="49">
        <v>0.18</v>
      </c>
      <c r="E71" s="49">
        <v>0.18</v>
      </c>
      <c r="F71" s="42">
        <f>E71*'рабочая не печать '!$D$63</f>
        <v>38.04676483712629</v>
      </c>
      <c r="G71" s="160"/>
      <c r="H71" s="47">
        <v>2523</v>
      </c>
      <c r="I71" s="160">
        <f>SUM(G71+H71)</f>
        <v>2523</v>
      </c>
      <c r="J71" s="402">
        <v>38.05</v>
      </c>
      <c r="K71" s="407">
        <f>SUM(M71*I71)</f>
        <v>548.642164723032</v>
      </c>
      <c r="L71" s="232" t="s">
        <v>553</v>
      </c>
      <c r="M71" s="169">
        <f>0.375*(2.34/3.43)*0.85</f>
        <v>0.21745626822157432</v>
      </c>
      <c r="N71" s="179">
        <f>SUM(K71*0.05)</f>
        <v>27.432108236151603</v>
      </c>
      <c r="O71" s="376">
        <f>'рабочая не печать '!$K$63</f>
        <v>2.2303703703703697</v>
      </c>
      <c r="P71" s="49"/>
      <c r="Q71" s="22">
        <f>'рабочая не печать '!$M$61</f>
        <v>51.25925925925926</v>
      </c>
      <c r="R71" s="385">
        <f>O71*'рабочая не печать '!$N$63</f>
        <v>209.48148148148147</v>
      </c>
      <c r="V71" s="38">
        <f>SUM(E71*2.34*1.163)</f>
        <v>0.48985559999999995</v>
      </c>
      <c r="W71" s="377">
        <v>0</v>
      </c>
      <c r="X71" s="49">
        <v>0</v>
      </c>
      <c r="Y71" s="394">
        <v>0</v>
      </c>
    </row>
    <row r="72" spans="1:25" s="231" customFormat="1" ht="66" customHeight="1" thickBot="1">
      <c r="A72" s="198"/>
      <c r="B72" s="200" t="s">
        <v>691</v>
      </c>
      <c r="C72" s="200">
        <v>2</v>
      </c>
      <c r="D72" s="199">
        <f>SUM(D70:D71)</f>
        <v>0.61</v>
      </c>
      <c r="E72" s="199">
        <f>SUM(E70:E71)</f>
        <v>0.61</v>
      </c>
      <c r="F72" s="199">
        <f>SUM(F70:F71)</f>
        <v>78.04676483712629</v>
      </c>
      <c r="G72" s="200">
        <f>SUM(G70:G71)</f>
        <v>2468</v>
      </c>
      <c r="H72" s="200">
        <f>SUM(H71)</f>
        <v>2523</v>
      </c>
      <c r="I72" s="200">
        <f>SUM(G72+H72)</f>
        <v>4991</v>
      </c>
      <c r="J72" s="404">
        <f>SUM(J70:J71)</f>
        <v>78.05</v>
      </c>
      <c r="K72" s="406" t="e">
        <f>SUM(K70:K71)</f>
        <v>#REF!</v>
      </c>
      <c r="L72" s="220"/>
      <c r="M72" s="199" t="e">
        <f>K72/I72</f>
        <v>#REF!</v>
      </c>
      <c r="N72" s="175" t="e">
        <f>SUM(N70:N71)</f>
        <v>#REF!</v>
      </c>
      <c r="O72" s="378">
        <f>SUM(O70:O71)</f>
        <v>3.2303703703703697</v>
      </c>
      <c r="P72" s="199">
        <f>SUM(P70:P71)</f>
        <v>0</v>
      </c>
      <c r="Q72" s="200">
        <f>SUM(Q70:Q71)/A71</f>
        <v>50.62962962962963</v>
      </c>
      <c r="R72" s="387">
        <f>SUM(R70:R71)</f>
        <v>309.48148148148147</v>
      </c>
      <c r="V72" s="199">
        <f>SUM(V70:V71)</f>
        <v>1.6600662000000002</v>
      </c>
      <c r="W72" s="378">
        <f>SUM(W70:W71)</f>
        <v>0</v>
      </c>
      <c r="X72" s="199">
        <f>SUM(X70:X71)</f>
        <v>0</v>
      </c>
      <c r="Y72" s="395">
        <f>SUM(Y70:Y71)</f>
        <v>0</v>
      </c>
    </row>
    <row r="73" spans="1:25" s="234" customFormat="1" ht="49.5" customHeight="1">
      <c r="A73" s="225"/>
      <c r="B73" s="223" t="s">
        <v>692</v>
      </c>
      <c r="C73" s="226"/>
      <c r="D73" s="222"/>
      <c r="E73" s="227"/>
      <c r="F73" s="227"/>
      <c r="G73" s="223"/>
      <c r="H73" s="223"/>
      <c r="I73" s="223"/>
      <c r="J73" s="408"/>
      <c r="K73" s="408"/>
      <c r="L73" s="223"/>
      <c r="M73" s="227"/>
      <c r="N73" s="227"/>
      <c r="O73" s="381"/>
      <c r="P73" s="227"/>
      <c r="Q73" s="226"/>
      <c r="R73" s="388"/>
      <c r="V73" s="222"/>
      <c r="W73" s="381"/>
      <c r="X73" s="227"/>
      <c r="Y73" s="397"/>
    </row>
    <row r="74" spans="1:25" ht="49.5" customHeight="1">
      <c r="A74" s="178">
        <v>1</v>
      </c>
      <c r="B74" s="22" t="s">
        <v>444</v>
      </c>
      <c r="C74" s="22" t="s">
        <v>693</v>
      </c>
      <c r="D74" s="42">
        <v>1.8</v>
      </c>
      <c r="E74" s="42">
        <v>1.8</v>
      </c>
      <c r="F74" s="42">
        <f>'рабочая не печать '!E12</f>
        <v>23</v>
      </c>
      <c r="G74" s="22">
        <v>7100</v>
      </c>
      <c r="H74" s="22">
        <v>5400</v>
      </c>
      <c r="I74" s="39">
        <f aca="true" t="shared" si="16" ref="I74:I81">SUM(G74+H74)</f>
        <v>12500</v>
      </c>
      <c r="J74" s="402">
        <v>23</v>
      </c>
      <c r="K74" s="407" t="e">
        <f aca="true" t="shared" si="17" ref="K74:K99">SUM(M74*I74)</f>
        <v>#REF!</v>
      </c>
      <c r="L74" s="229" t="s">
        <v>553</v>
      </c>
      <c r="M74" s="179" t="e">
        <f>0.375*(2.34/3.43)*#REF!</f>
        <v>#REF!</v>
      </c>
      <c r="N74" s="169" t="e">
        <f aca="true" t="shared" si="18" ref="N74:N99">SUM(K74*0.05)</f>
        <v>#REF!</v>
      </c>
      <c r="O74" s="376">
        <f>'рабочая не печать '!K12</f>
        <v>0.61</v>
      </c>
      <c r="P74" s="42"/>
      <c r="Q74" s="22">
        <f>'рабочая не печать '!M12</f>
        <v>57</v>
      </c>
      <c r="R74" s="385">
        <f>'рабочая не печать '!N12</f>
        <v>30</v>
      </c>
      <c r="V74" s="38">
        <f>SUM(D74*2.34*1.163)</f>
        <v>4.898556</v>
      </c>
      <c r="W74" s="376">
        <v>0</v>
      </c>
      <c r="X74" s="42">
        <v>0</v>
      </c>
      <c r="Y74" s="393">
        <v>0</v>
      </c>
    </row>
    <row r="75" spans="1:25" ht="49.5" customHeight="1">
      <c r="A75" s="178">
        <v>2</v>
      </c>
      <c r="B75" s="22" t="s">
        <v>445</v>
      </c>
      <c r="C75" s="22" t="s">
        <v>696</v>
      </c>
      <c r="D75" s="42">
        <v>2</v>
      </c>
      <c r="E75" s="42">
        <v>2</v>
      </c>
      <c r="F75" s="42">
        <f>'рабочая не печать '!E13</f>
        <v>67</v>
      </c>
      <c r="G75" s="22">
        <v>5540</v>
      </c>
      <c r="H75" s="22">
        <v>200</v>
      </c>
      <c r="I75" s="39">
        <f t="shared" si="16"/>
        <v>5740</v>
      </c>
      <c r="J75" s="402">
        <v>67</v>
      </c>
      <c r="K75" s="407" t="e">
        <f t="shared" si="17"/>
        <v>#REF!</v>
      </c>
      <c r="L75" s="229" t="s">
        <v>553</v>
      </c>
      <c r="M75" s="179" t="e">
        <f>0.375*(2.34/3.43)*#REF!</f>
        <v>#REF!</v>
      </c>
      <c r="N75" s="169" t="e">
        <f t="shared" si="18"/>
        <v>#REF!</v>
      </c>
      <c r="O75" s="376">
        <f>'рабочая не печать '!K13</f>
        <v>0.67</v>
      </c>
      <c r="P75" s="42"/>
      <c r="Q75" s="22">
        <f>'рабочая не печать '!M13</f>
        <v>51</v>
      </c>
      <c r="R75" s="385">
        <f>'рабочая не печать '!N13</f>
        <v>30</v>
      </c>
      <c r="V75" s="38">
        <f aca="true" t="shared" si="19" ref="V75:V99">SUM(D75*2.34*1.163)</f>
        <v>5.4428399999999995</v>
      </c>
      <c r="W75" s="376">
        <v>0</v>
      </c>
      <c r="X75" s="42">
        <v>0</v>
      </c>
      <c r="Y75" s="393">
        <v>0</v>
      </c>
    </row>
    <row r="76" spans="1:25" ht="49.5" customHeight="1">
      <c r="A76" s="178">
        <v>3</v>
      </c>
      <c r="B76" s="22" t="s">
        <v>697</v>
      </c>
      <c r="C76" s="22" t="s">
        <v>698</v>
      </c>
      <c r="D76" s="42">
        <v>2.24</v>
      </c>
      <c r="E76" s="42">
        <v>2.24</v>
      </c>
      <c r="F76" s="42">
        <f>'рабочая не печать '!E14</f>
        <v>48</v>
      </c>
      <c r="G76" s="22">
        <v>12723</v>
      </c>
      <c r="H76" s="22">
        <v>6100</v>
      </c>
      <c r="I76" s="39">
        <f t="shared" si="16"/>
        <v>18823</v>
      </c>
      <c r="J76" s="402">
        <v>48</v>
      </c>
      <c r="K76" s="407" t="e">
        <f t="shared" si="17"/>
        <v>#REF!</v>
      </c>
      <c r="L76" s="229" t="s">
        <v>553</v>
      </c>
      <c r="M76" s="179" t="e">
        <f>0.375*(2.34/3.43)*#REF!</f>
        <v>#REF!</v>
      </c>
      <c r="N76" s="169" t="e">
        <f t="shared" si="18"/>
        <v>#REF!</v>
      </c>
      <c r="O76" s="376">
        <f>'рабочая не печать '!K14</f>
        <v>0.69</v>
      </c>
      <c r="P76" s="42"/>
      <c r="Q76" s="22">
        <f>'рабочая не печать '!M14</f>
        <v>45</v>
      </c>
      <c r="R76" s="385">
        <f>'рабочая не печать '!N14</f>
        <v>30</v>
      </c>
      <c r="V76" s="38">
        <f t="shared" si="19"/>
        <v>6.0959808</v>
      </c>
      <c r="W76" s="376">
        <v>0</v>
      </c>
      <c r="X76" s="42">
        <v>0</v>
      </c>
      <c r="Y76" s="393">
        <v>0</v>
      </c>
    </row>
    <row r="77" spans="1:25" ht="49.5" customHeight="1">
      <c r="A77" s="178">
        <v>4</v>
      </c>
      <c r="B77" s="22" t="s">
        <v>697</v>
      </c>
      <c r="C77" s="22" t="s">
        <v>700</v>
      </c>
      <c r="D77" s="42">
        <v>3.92</v>
      </c>
      <c r="E77" s="42">
        <v>3.92</v>
      </c>
      <c r="F77" s="42">
        <f>'рабочая не печать '!E15</f>
        <v>52</v>
      </c>
      <c r="G77" s="22">
        <v>12700</v>
      </c>
      <c r="H77" s="22"/>
      <c r="I77" s="39">
        <f t="shared" si="16"/>
        <v>12700</v>
      </c>
      <c r="J77" s="402">
        <v>52</v>
      </c>
      <c r="K77" s="407" t="e">
        <f t="shared" si="17"/>
        <v>#REF!</v>
      </c>
      <c r="L77" s="229" t="s">
        <v>553</v>
      </c>
      <c r="M77" s="179" t="e">
        <f>0.375*(2.34/3.43)*#REF!</f>
        <v>#REF!</v>
      </c>
      <c r="N77" s="169" t="e">
        <f t="shared" si="18"/>
        <v>#REF!</v>
      </c>
      <c r="O77" s="376">
        <f>'рабочая не печать '!K15</f>
        <v>1.56</v>
      </c>
      <c r="P77" s="42"/>
      <c r="Q77" s="22">
        <f>'рабочая не печать '!M15</f>
        <v>54</v>
      </c>
      <c r="R77" s="385">
        <f>'рабочая не печать '!N15</f>
        <v>150</v>
      </c>
      <c r="V77" s="38">
        <f t="shared" si="19"/>
        <v>10.6679664</v>
      </c>
      <c r="W77" s="376">
        <v>0</v>
      </c>
      <c r="X77" s="42">
        <v>0</v>
      </c>
      <c r="Y77" s="393">
        <v>0</v>
      </c>
    </row>
    <row r="78" spans="1:25" ht="49.5" customHeight="1">
      <c r="A78" s="178">
        <v>5</v>
      </c>
      <c r="B78" s="22" t="s">
        <v>701</v>
      </c>
      <c r="C78" s="22" t="s">
        <v>689</v>
      </c>
      <c r="D78" s="42">
        <v>5.62</v>
      </c>
      <c r="E78" s="42">
        <v>5.62</v>
      </c>
      <c r="F78" s="42">
        <f>'рабочая не печать '!E16</f>
        <v>77</v>
      </c>
      <c r="G78" s="22">
        <v>30454</v>
      </c>
      <c r="H78" s="22">
        <v>6155</v>
      </c>
      <c r="I78" s="39">
        <f t="shared" si="16"/>
        <v>36609</v>
      </c>
      <c r="J78" s="402">
        <v>77</v>
      </c>
      <c r="K78" s="407" t="e">
        <f t="shared" si="17"/>
        <v>#REF!</v>
      </c>
      <c r="L78" s="229" t="s">
        <v>56</v>
      </c>
      <c r="M78" s="169" t="e">
        <f>0.242*(2.34/3.43)*#REF!</f>
        <v>#REF!</v>
      </c>
      <c r="N78" s="169" t="e">
        <f t="shared" si="18"/>
        <v>#REF!</v>
      </c>
      <c r="O78" s="376">
        <f>'рабочая не печать '!K16</f>
        <v>2.42</v>
      </c>
      <c r="P78" s="42"/>
      <c r="Q78" s="22">
        <f>'рабочая не печать '!M16</f>
        <v>52</v>
      </c>
      <c r="R78" s="385">
        <f>'рабочая не печать '!N16</f>
        <v>150</v>
      </c>
      <c r="V78" s="38">
        <f t="shared" si="19"/>
        <v>15.294380400000001</v>
      </c>
      <c r="W78" s="376">
        <f>O78</f>
        <v>2.42</v>
      </c>
      <c r="X78" s="42">
        <f>Q78</f>
        <v>52</v>
      </c>
      <c r="Y78" s="393">
        <f>R78</f>
        <v>150</v>
      </c>
    </row>
    <row r="79" spans="1:25" ht="49.5" customHeight="1">
      <c r="A79" s="178">
        <v>6</v>
      </c>
      <c r="B79" s="22" t="s">
        <v>702</v>
      </c>
      <c r="C79" s="22" t="s">
        <v>689</v>
      </c>
      <c r="D79" s="42">
        <v>1.68</v>
      </c>
      <c r="E79" s="42">
        <v>1.68</v>
      </c>
      <c r="F79" s="42">
        <f>'рабочая не печать '!E17</f>
        <v>32</v>
      </c>
      <c r="G79" s="22">
        <v>5955</v>
      </c>
      <c r="H79" s="22">
        <v>900</v>
      </c>
      <c r="I79" s="39">
        <f t="shared" si="16"/>
        <v>6855</v>
      </c>
      <c r="J79" s="402">
        <v>32</v>
      </c>
      <c r="K79" s="407" t="e">
        <f t="shared" si="17"/>
        <v>#REF!</v>
      </c>
      <c r="L79" s="229" t="s">
        <v>553</v>
      </c>
      <c r="M79" s="179" t="e">
        <f>0.375*(2.34/3.43)*#REF!</f>
        <v>#REF!</v>
      </c>
      <c r="N79" s="169" t="e">
        <f t="shared" si="18"/>
        <v>#REF!</v>
      </c>
      <c r="O79" s="376">
        <f>'рабочая не печать '!K17</f>
        <v>0.95</v>
      </c>
      <c r="P79" s="42"/>
      <c r="Q79" s="22">
        <f>'рабочая не печать '!M17</f>
        <v>45</v>
      </c>
      <c r="R79" s="385">
        <f>'рабочая не печать '!N17</f>
        <v>50</v>
      </c>
      <c r="V79" s="38">
        <f t="shared" si="19"/>
        <v>4.5719856</v>
      </c>
      <c r="W79" s="376">
        <v>0</v>
      </c>
      <c r="X79" s="42">
        <v>0</v>
      </c>
      <c r="Y79" s="393">
        <v>0</v>
      </c>
    </row>
    <row r="80" spans="1:25" ht="49.5" customHeight="1">
      <c r="A80" s="178">
        <v>7</v>
      </c>
      <c r="B80" s="22" t="s">
        <v>703</v>
      </c>
      <c r="C80" s="22" t="s">
        <v>689</v>
      </c>
      <c r="D80" s="42">
        <v>0.5</v>
      </c>
      <c r="E80" s="42">
        <v>0.5</v>
      </c>
      <c r="F80" s="42">
        <f>E80*'рабочая не печать '!$D$63</f>
        <v>105.68545788090636</v>
      </c>
      <c r="G80" s="22">
        <v>3275</v>
      </c>
      <c r="H80" s="22"/>
      <c r="I80" s="39">
        <f t="shared" si="16"/>
        <v>3275</v>
      </c>
      <c r="J80" s="402">
        <v>105.69</v>
      </c>
      <c r="K80" s="407" t="e">
        <f t="shared" si="17"/>
        <v>#REF!</v>
      </c>
      <c r="L80" s="229" t="s">
        <v>553</v>
      </c>
      <c r="M80" s="179" t="e">
        <f>0.375*(2.34/3.43)*#REF!</f>
        <v>#REF!</v>
      </c>
      <c r="N80" s="169" t="e">
        <f t="shared" si="18"/>
        <v>#REF!</v>
      </c>
      <c r="O80" s="376">
        <f>'рабочая не печать '!$K$63</f>
        <v>2.2303703703703697</v>
      </c>
      <c r="P80" s="42"/>
      <c r="Q80" s="22">
        <f>'рабочая не печать '!$M$61</f>
        <v>51.25925925925926</v>
      </c>
      <c r="R80" s="385">
        <f>O80*'рабочая не печать '!$N$63</f>
        <v>209.48148148148147</v>
      </c>
      <c r="V80" s="38">
        <f t="shared" si="19"/>
        <v>1.3607099999999999</v>
      </c>
      <c r="W80" s="376">
        <v>0</v>
      </c>
      <c r="X80" s="42">
        <v>0</v>
      </c>
      <c r="Y80" s="393">
        <v>0</v>
      </c>
    </row>
    <row r="81" spans="1:25" ht="49.5" customHeight="1">
      <c r="A81" s="178">
        <v>8</v>
      </c>
      <c r="B81" s="22" t="s">
        <v>704</v>
      </c>
      <c r="C81" s="22" t="s">
        <v>689</v>
      </c>
      <c r="D81" s="42">
        <v>0.31</v>
      </c>
      <c r="E81" s="42">
        <v>0.31</v>
      </c>
      <c r="F81" s="42">
        <f>'рабочая не печать '!E18</f>
        <v>12</v>
      </c>
      <c r="G81" s="22"/>
      <c r="H81" s="22">
        <v>1620</v>
      </c>
      <c r="I81" s="39">
        <f t="shared" si="16"/>
        <v>1620</v>
      </c>
      <c r="J81" s="402">
        <v>12</v>
      </c>
      <c r="K81" s="407" t="e">
        <f t="shared" si="17"/>
        <v>#REF!</v>
      </c>
      <c r="L81" s="229" t="s">
        <v>553</v>
      </c>
      <c r="M81" s="179" t="e">
        <f>0.375*(2.34/3.43)*#REF!</f>
        <v>#REF!</v>
      </c>
      <c r="N81" s="169" t="e">
        <f t="shared" si="18"/>
        <v>#REF!</v>
      </c>
      <c r="O81" s="376">
        <f>'рабочая не печать '!K18</f>
        <v>0.05</v>
      </c>
      <c r="P81" s="42"/>
      <c r="Q81" s="22">
        <f>'рабочая не печать '!M18</f>
        <v>50</v>
      </c>
      <c r="R81" s="385">
        <f>O81*'рабочая не печать '!$N$63</f>
        <v>4.696114247758221</v>
      </c>
      <c r="V81" s="38">
        <f t="shared" si="19"/>
        <v>0.8436402</v>
      </c>
      <c r="W81" s="376">
        <v>0</v>
      </c>
      <c r="X81" s="42">
        <v>0</v>
      </c>
      <c r="Y81" s="393">
        <v>0</v>
      </c>
    </row>
    <row r="82" spans="1:25" ht="49.5" customHeight="1">
      <c r="A82" s="178">
        <v>9</v>
      </c>
      <c r="B82" s="22" t="s">
        <v>705</v>
      </c>
      <c r="C82" s="22" t="s">
        <v>689</v>
      </c>
      <c r="D82" s="42">
        <v>0.75</v>
      </c>
      <c r="E82" s="42">
        <v>0.75</v>
      </c>
      <c r="F82" s="42">
        <f>'рабочая не печать '!E19</f>
        <v>11</v>
      </c>
      <c r="G82" s="22"/>
      <c r="H82" s="22">
        <v>2480</v>
      </c>
      <c r="I82" s="39">
        <f aca="true" t="shared" si="20" ref="I82:I150">SUM(G82+H82)</f>
        <v>2480</v>
      </c>
      <c r="J82" s="402">
        <v>11</v>
      </c>
      <c r="K82" s="407" t="e">
        <f t="shared" si="17"/>
        <v>#REF!</v>
      </c>
      <c r="L82" s="229" t="s">
        <v>553</v>
      </c>
      <c r="M82" s="179" t="e">
        <f>0.375*(2.34/3.43)*#REF!</f>
        <v>#REF!</v>
      </c>
      <c r="N82" s="169" t="e">
        <f t="shared" si="18"/>
        <v>#REF!</v>
      </c>
      <c r="O82" s="376">
        <f>'рабочая не печать '!K19</f>
        <v>0.12</v>
      </c>
      <c r="P82" s="42"/>
      <c r="Q82" s="22">
        <f>'рабочая не печать '!M19</f>
        <v>50</v>
      </c>
      <c r="R82" s="385">
        <f>O82*'рабочая не печать '!$N$63</f>
        <v>11.27067419461973</v>
      </c>
      <c r="V82" s="38">
        <f t="shared" si="19"/>
        <v>2.041065</v>
      </c>
      <c r="W82" s="376">
        <v>0</v>
      </c>
      <c r="X82" s="42">
        <v>0</v>
      </c>
      <c r="Y82" s="393">
        <v>0</v>
      </c>
    </row>
    <row r="83" spans="1:25" ht="49.5" customHeight="1">
      <c r="A83" s="178">
        <v>10</v>
      </c>
      <c r="B83" s="22" t="s">
        <v>707</v>
      </c>
      <c r="C83" s="22" t="s">
        <v>689</v>
      </c>
      <c r="D83" s="42">
        <v>1.26</v>
      </c>
      <c r="E83" s="42">
        <v>1.26</v>
      </c>
      <c r="F83" s="42">
        <f>E83*'рабочая не печать '!$D$63</f>
        <v>266.327353859884</v>
      </c>
      <c r="G83" s="22"/>
      <c r="H83" s="22">
        <v>1780</v>
      </c>
      <c r="I83" s="39">
        <f t="shared" si="20"/>
        <v>1780</v>
      </c>
      <c r="J83" s="402">
        <v>266.33</v>
      </c>
      <c r="K83" s="407" t="e">
        <f t="shared" si="17"/>
        <v>#REF!</v>
      </c>
      <c r="L83" s="229" t="s">
        <v>553</v>
      </c>
      <c r="M83" s="179" t="e">
        <f>0.375*(2.34/3.43)*#REF!</f>
        <v>#REF!</v>
      </c>
      <c r="N83" s="169" t="e">
        <f t="shared" si="18"/>
        <v>#REF!</v>
      </c>
      <c r="O83" s="376">
        <f>'рабочая не печать '!$K$63</f>
        <v>2.2303703703703697</v>
      </c>
      <c r="P83" s="42"/>
      <c r="Q83" s="22">
        <f>'рабочая не печать '!$M$61</f>
        <v>51.25925925925926</v>
      </c>
      <c r="R83" s="385">
        <f>O83*'рабочая не печать '!$N$63</f>
        <v>209.48148148148147</v>
      </c>
      <c r="V83" s="38">
        <f t="shared" si="19"/>
        <v>3.4289892</v>
      </c>
      <c r="W83" s="376">
        <v>0</v>
      </c>
      <c r="X83" s="42">
        <v>0</v>
      </c>
      <c r="Y83" s="393">
        <v>0</v>
      </c>
    </row>
    <row r="84" spans="1:25" ht="49.5" customHeight="1">
      <c r="A84" s="178">
        <v>11</v>
      </c>
      <c r="B84" s="22" t="s">
        <v>708</v>
      </c>
      <c r="C84" s="22" t="s">
        <v>689</v>
      </c>
      <c r="D84" s="42">
        <v>0.76</v>
      </c>
      <c r="E84" s="42">
        <v>0.76</v>
      </c>
      <c r="F84" s="42">
        <f>'рабочая не печать '!E20</f>
        <v>10</v>
      </c>
      <c r="G84" s="22"/>
      <c r="H84" s="22">
        <v>1200</v>
      </c>
      <c r="I84" s="39">
        <f t="shared" si="20"/>
        <v>1200</v>
      </c>
      <c r="J84" s="402">
        <v>10</v>
      </c>
      <c r="K84" s="407" t="e">
        <f t="shared" si="17"/>
        <v>#REF!</v>
      </c>
      <c r="L84" s="229" t="s">
        <v>553</v>
      </c>
      <c r="M84" s="179" t="e">
        <f>0.375*(2.34/3.43)*#REF!</f>
        <v>#REF!</v>
      </c>
      <c r="N84" s="169" t="e">
        <f t="shared" si="18"/>
        <v>#REF!</v>
      </c>
      <c r="O84" s="376">
        <f>'рабочая не печать '!$K$63</f>
        <v>2.2303703703703697</v>
      </c>
      <c r="P84" s="42"/>
      <c r="Q84" s="22">
        <f>'рабочая не печать '!$M$61</f>
        <v>51.25925925925926</v>
      </c>
      <c r="R84" s="385">
        <f>O84*'рабочая не печать '!$N$63</f>
        <v>209.48148148148147</v>
      </c>
      <c r="V84" s="38">
        <f t="shared" si="19"/>
        <v>2.0682792</v>
      </c>
      <c r="W84" s="376">
        <v>0</v>
      </c>
      <c r="X84" s="42">
        <v>0</v>
      </c>
      <c r="Y84" s="393">
        <v>0</v>
      </c>
    </row>
    <row r="85" spans="1:25" ht="49.5" customHeight="1">
      <c r="A85" s="178">
        <v>12</v>
      </c>
      <c r="B85" s="22" t="s">
        <v>709</v>
      </c>
      <c r="C85" s="22" t="s">
        <v>689</v>
      </c>
      <c r="D85" s="42">
        <v>0.83</v>
      </c>
      <c r="E85" s="42">
        <v>0.83</v>
      </c>
      <c r="F85" s="42">
        <f>E85*'рабочая не печать '!$D$63</f>
        <v>175.43786008230455</v>
      </c>
      <c r="G85" s="22"/>
      <c r="H85" s="22">
        <v>1150</v>
      </c>
      <c r="I85" s="39">
        <f t="shared" si="20"/>
        <v>1150</v>
      </c>
      <c r="J85" s="402">
        <v>175.44</v>
      </c>
      <c r="K85" s="407" t="e">
        <f t="shared" si="17"/>
        <v>#REF!</v>
      </c>
      <c r="L85" s="229" t="s">
        <v>553</v>
      </c>
      <c r="M85" s="179" t="e">
        <f>0.375*(2.34/3.43)*#REF!</f>
        <v>#REF!</v>
      </c>
      <c r="N85" s="169" t="e">
        <f t="shared" si="18"/>
        <v>#REF!</v>
      </c>
      <c r="O85" s="376">
        <f>'рабочая не печать '!$K$63</f>
        <v>2.2303703703703697</v>
      </c>
      <c r="P85" s="42"/>
      <c r="Q85" s="22">
        <v>50</v>
      </c>
      <c r="R85" s="385">
        <f>O85*'рабочая не печать '!$N$63</f>
        <v>209.48148148148147</v>
      </c>
      <c r="V85" s="38">
        <f t="shared" si="19"/>
        <v>2.2587786</v>
      </c>
      <c r="W85" s="376">
        <v>0</v>
      </c>
      <c r="X85" s="42">
        <v>0</v>
      </c>
      <c r="Y85" s="393">
        <v>0</v>
      </c>
    </row>
    <row r="86" spans="1:25" ht="49.5" customHeight="1">
      <c r="A86" s="178">
        <v>13</v>
      </c>
      <c r="B86" s="22" t="s">
        <v>664</v>
      </c>
      <c r="C86" s="22" t="s">
        <v>689</v>
      </c>
      <c r="D86" s="42">
        <v>3.15</v>
      </c>
      <c r="E86" s="42">
        <v>3.15</v>
      </c>
      <c r="F86" s="42">
        <f>'рабочая не печать '!E21</f>
        <v>15</v>
      </c>
      <c r="G86" s="22"/>
      <c r="H86" s="22">
        <v>9217</v>
      </c>
      <c r="I86" s="39">
        <f t="shared" si="20"/>
        <v>9217</v>
      </c>
      <c r="J86" s="402">
        <v>15</v>
      </c>
      <c r="K86" s="407" t="e">
        <f t="shared" si="17"/>
        <v>#REF!</v>
      </c>
      <c r="L86" s="229" t="s">
        <v>553</v>
      </c>
      <c r="M86" s="179" t="e">
        <f>0.375*(2.34/3.43)*#REF!</f>
        <v>#REF!</v>
      </c>
      <c r="N86" s="169" t="e">
        <f t="shared" si="18"/>
        <v>#REF!</v>
      </c>
      <c r="O86" s="376">
        <f>'рабочая не печать '!K21</f>
        <v>0.4</v>
      </c>
      <c r="P86" s="42"/>
      <c r="Q86" s="22">
        <f>'рабочая не печать '!M21</f>
        <v>51</v>
      </c>
      <c r="R86" s="385">
        <f>'рабочая не печать '!N21</f>
        <v>20</v>
      </c>
      <c r="V86" s="38">
        <f t="shared" si="19"/>
        <v>8.572473</v>
      </c>
      <c r="W86" s="376">
        <v>0</v>
      </c>
      <c r="X86" s="42">
        <v>0</v>
      </c>
      <c r="Y86" s="393">
        <v>0</v>
      </c>
    </row>
    <row r="87" spans="1:25" ht="49.5" customHeight="1">
      <c r="A87" s="178">
        <v>14</v>
      </c>
      <c r="B87" s="22" t="s">
        <v>711</v>
      </c>
      <c r="C87" s="22" t="s">
        <v>689</v>
      </c>
      <c r="D87" s="42">
        <v>0.53</v>
      </c>
      <c r="E87" s="42">
        <v>0.53</v>
      </c>
      <c r="F87" s="42">
        <f>'рабочая не печать '!E22</f>
        <v>15</v>
      </c>
      <c r="G87" s="22">
        <v>710</v>
      </c>
      <c r="H87" s="22"/>
      <c r="I87" s="39">
        <f t="shared" si="20"/>
        <v>710</v>
      </c>
      <c r="J87" s="402">
        <v>15</v>
      </c>
      <c r="K87" s="407" t="e">
        <f t="shared" si="17"/>
        <v>#REF!</v>
      </c>
      <c r="L87" s="229" t="s">
        <v>553</v>
      </c>
      <c r="M87" s="179" t="e">
        <f>0.375*(2.34/3.43)*#REF!</f>
        <v>#REF!</v>
      </c>
      <c r="N87" s="169" t="e">
        <f t="shared" si="18"/>
        <v>#REF!</v>
      </c>
      <c r="O87" s="376">
        <f>'рабочая не печать '!K22</f>
        <v>0.3</v>
      </c>
      <c r="P87" s="42"/>
      <c r="Q87" s="22">
        <f>'рабочая не печать '!M22</f>
        <v>58</v>
      </c>
      <c r="R87" s="385">
        <f>'рабочая не печать '!N22</f>
        <v>20</v>
      </c>
      <c r="V87" s="38">
        <f t="shared" si="19"/>
        <v>1.4423526</v>
      </c>
      <c r="W87" s="376">
        <v>0</v>
      </c>
      <c r="X87" s="42">
        <v>0</v>
      </c>
      <c r="Y87" s="393">
        <v>0</v>
      </c>
    </row>
    <row r="88" spans="1:25" ht="49.5" customHeight="1">
      <c r="A88" s="178">
        <v>15</v>
      </c>
      <c r="B88" s="22" t="s">
        <v>713</v>
      </c>
      <c r="C88" s="22" t="s">
        <v>714</v>
      </c>
      <c r="D88" s="42">
        <v>1</v>
      </c>
      <c r="E88" s="42">
        <v>1</v>
      </c>
      <c r="F88" s="42">
        <f>'рабочая не печать '!E23</f>
        <v>15</v>
      </c>
      <c r="G88" s="22">
        <v>2407</v>
      </c>
      <c r="H88" s="22"/>
      <c r="I88" s="39">
        <f t="shared" si="20"/>
        <v>2407</v>
      </c>
      <c r="J88" s="402">
        <v>15</v>
      </c>
      <c r="K88" s="407" t="e">
        <f t="shared" si="17"/>
        <v>#REF!</v>
      </c>
      <c r="L88" s="229" t="s">
        <v>553</v>
      </c>
      <c r="M88" s="179" t="e">
        <f>0.375*(2.34/3.43)*#REF!</f>
        <v>#REF!</v>
      </c>
      <c r="N88" s="169" t="e">
        <f t="shared" si="18"/>
        <v>#REF!</v>
      </c>
      <c r="O88" s="376">
        <f>'рабочая не печать '!K23</f>
        <v>0.16</v>
      </c>
      <c r="P88" s="42"/>
      <c r="Q88" s="22">
        <f>'рабочая не печать '!M23</f>
        <v>48</v>
      </c>
      <c r="R88" s="385">
        <f>'рабочая не печать '!N23</f>
        <v>20</v>
      </c>
      <c r="V88" s="38">
        <f t="shared" si="19"/>
        <v>2.7214199999999997</v>
      </c>
      <c r="W88" s="376">
        <v>0</v>
      </c>
      <c r="X88" s="42">
        <v>0</v>
      </c>
      <c r="Y88" s="393">
        <v>0</v>
      </c>
    </row>
    <row r="89" spans="1:25" ht="49.5" customHeight="1">
      <c r="A89" s="178">
        <v>16</v>
      </c>
      <c r="B89" s="22" t="s">
        <v>716</v>
      </c>
      <c r="C89" s="22" t="s">
        <v>717</v>
      </c>
      <c r="D89" s="42">
        <v>6.78</v>
      </c>
      <c r="E89" s="42">
        <v>6.78</v>
      </c>
      <c r="F89" s="42">
        <f>'рабочая не печать '!E24</f>
        <v>64</v>
      </c>
      <c r="G89" s="22">
        <v>52009</v>
      </c>
      <c r="H89" s="22">
        <v>7046</v>
      </c>
      <c r="I89" s="39">
        <f t="shared" si="20"/>
        <v>59055</v>
      </c>
      <c r="J89" s="402">
        <v>64</v>
      </c>
      <c r="K89" s="407" t="e">
        <f t="shared" si="17"/>
        <v>#REF!</v>
      </c>
      <c r="L89" s="229" t="s">
        <v>56</v>
      </c>
      <c r="M89" s="169" t="e">
        <f>0.242*(2.34/3.43)*#REF!</f>
        <v>#REF!</v>
      </c>
      <c r="N89" s="169" t="e">
        <f t="shared" si="18"/>
        <v>#REF!</v>
      </c>
      <c r="O89" s="376">
        <f>'рабочая не печать '!K24</f>
        <v>9</v>
      </c>
      <c r="P89" s="42"/>
      <c r="Q89" s="22">
        <f>'рабочая не печать '!M24</f>
        <v>42</v>
      </c>
      <c r="R89" s="385">
        <f>'рабочая не печать '!N24</f>
        <v>400</v>
      </c>
      <c r="V89" s="38">
        <f t="shared" si="19"/>
        <v>18.4512276</v>
      </c>
      <c r="W89" s="376">
        <f>O89</f>
        <v>9</v>
      </c>
      <c r="X89" s="42">
        <f>Q89</f>
        <v>42</v>
      </c>
      <c r="Y89" s="393">
        <f>R89</f>
        <v>400</v>
      </c>
    </row>
    <row r="90" spans="1:25" ht="49.5" customHeight="1">
      <c r="A90" s="178">
        <v>17</v>
      </c>
      <c r="B90" s="22" t="s">
        <v>719</v>
      </c>
      <c r="C90" s="22" t="s">
        <v>721</v>
      </c>
      <c r="D90" s="42">
        <v>0.52</v>
      </c>
      <c r="E90" s="42">
        <v>0.52</v>
      </c>
      <c r="F90" s="42">
        <f>'рабочая не печать '!E25</f>
        <v>76</v>
      </c>
      <c r="G90" s="22">
        <v>5219</v>
      </c>
      <c r="H90" s="22"/>
      <c r="I90" s="39">
        <f t="shared" si="20"/>
        <v>5219</v>
      </c>
      <c r="J90" s="402">
        <v>76</v>
      </c>
      <c r="K90" s="407" t="e">
        <f t="shared" si="17"/>
        <v>#REF!</v>
      </c>
      <c r="L90" s="229" t="s">
        <v>553</v>
      </c>
      <c r="M90" s="179" t="e">
        <f>0.375*(2.34/3.43)*#REF!</f>
        <v>#REF!</v>
      </c>
      <c r="N90" s="169" t="e">
        <f t="shared" si="18"/>
        <v>#REF!</v>
      </c>
      <c r="O90" s="376">
        <f>'рабочая не печать '!$K$63</f>
        <v>2.2303703703703697</v>
      </c>
      <c r="P90" s="42"/>
      <c r="Q90" s="22">
        <f>'рабочая не печать '!$M$61</f>
        <v>51.25925925925926</v>
      </c>
      <c r="R90" s="385">
        <f>O90*'рабочая не печать '!$N$63</f>
        <v>209.48148148148147</v>
      </c>
      <c r="V90" s="38">
        <f t="shared" si="19"/>
        <v>1.4151383999999998</v>
      </c>
      <c r="W90" s="376">
        <v>0</v>
      </c>
      <c r="X90" s="42">
        <v>0</v>
      </c>
      <c r="Y90" s="393">
        <v>0</v>
      </c>
    </row>
    <row r="91" spans="1:25" ht="49.5" customHeight="1">
      <c r="A91" s="178">
        <v>18</v>
      </c>
      <c r="B91" s="22" t="s">
        <v>720</v>
      </c>
      <c r="C91" s="22" t="s">
        <v>722</v>
      </c>
      <c r="D91" s="42">
        <v>1.5</v>
      </c>
      <c r="E91" s="42">
        <v>1.5</v>
      </c>
      <c r="F91" s="42">
        <f>'рабочая не печать '!E26</f>
        <v>32</v>
      </c>
      <c r="G91" s="22">
        <v>19479</v>
      </c>
      <c r="H91" s="22"/>
      <c r="I91" s="39">
        <f t="shared" si="20"/>
        <v>19479</v>
      </c>
      <c r="J91" s="402">
        <v>32</v>
      </c>
      <c r="K91" s="407" t="e">
        <f t="shared" si="17"/>
        <v>#REF!</v>
      </c>
      <c r="L91" s="229" t="s">
        <v>56</v>
      </c>
      <c r="M91" s="169" t="e">
        <f>0.242*(2.34/3.43)*#REF!</f>
        <v>#REF!</v>
      </c>
      <c r="N91" s="169" t="e">
        <f t="shared" si="18"/>
        <v>#REF!</v>
      </c>
      <c r="O91" s="376">
        <f>'рабочая не печать '!K26</f>
        <v>1</v>
      </c>
      <c r="P91" s="42"/>
      <c r="Q91" s="22">
        <f>'рабочая не печать '!M26</f>
        <v>63</v>
      </c>
      <c r="R91" s="385">
        <f>'рабочая не печать '!N26</f>
        <v>50</v>
      </c>
      <c r="V91" s="38">
        <f t="shared" si="19"/>
        <v>4.08213</v>
      </c>
      <c r="W91" s="376">
        <f>O91</f>
        <v>1</v>
      </c>
      <c r="X91" s="42">
        <f>Q91</f>
        <v>63</v>
      </c>
      <c r="Y91" s="393">
        <f>R91</f>
        <v>50</v>
      </c>
    </row>
    <row r="92" spans="1:25" ht="49.5" customHeight="1">
      <c r="A92" s="178">
        <v>19</v>
      </c>
      <c r="B92" s="22" t="s">
        <v>723</v>
      </c>
      <c r="C92" s="22" t="s">
        <v>689</v>
      </c>
      <c r="D92" s="42">
        <v>0.94</v>
      </c>
      <c r="E92" s="42">
        <v>0.94</v>
      </c>
      <c r="F92" s="42">
        <f>'рабочая не печать '!E27</f>
        <v>247</v>
      </c>
      <c r="G92" s="22">
        <v>12352</v>
      </c>
      <c r="H92" s="22"/>
      <c r="I92" s="39">
        <f t="shared" si="20"/>
        <v>12352</v>
      </c>
      <c r="J92" s="402">
        <v>247</v>
      </c>
      <c r="K92" s="407" t="e">
        <f t="shared" si="17"/>
        <v>#REF!</v>
      </c>
      <c r="L92" s="229" t="s">
        <v>553</v>
      </c>
      <c r="M92" s="179" t="e">
        <f>0.375*(2.34/3.43)*#REF!</f>
        <v>#REF!</v>
      </c>
      <c r="N92" s="169" t="e">
        <f t="shared" si="18"/>
        <v>#REF!</v>
      </c>
      <c r="O92" s="376">
        <f>'рабочая не печать '!K27</f>
        <v>0.8</v>
      </c>
      <c r="P92" s="42"/>
      <c r="Q92" s="22">
        <f>'рабочая не печать '!M27</f>
        <v>61</v>
      </c>
      <c r="R92" s="385">
        <f>'рабочая не печать '!N27</f>
        <v>43</v>
      </c>
      <c r="V92" s="38">
        <f t="shared" si="19"/>
        <v>2.5581348</v>
      </c>
      <c r="W92" s="376">
        <v>0</v>
      </c>
      <c r="X92" s="42">
        <v>0</v>
      </c>
      <c r="Y92" s="393">
        <v>0</v>
      </c>
    </row>
    <row r="93" spans="1:25" ht="49.5" customHeight="1">
      <c r="A93" s="178">
        <v>20</v>
      </c>
      <c r="B93" s="22" t="s">
        <v>724</v>
      </c>
      <c r="C93" s="22" t="s">
        <v>689</v>
      </c>
      <c r="D93" s="42">
        <v>1.56</v>
      </c>
      <c r="E93" s="42">
        <v>1.56</v>
      </c>
      <c r="F93" s="42">
        <v>15</v>
      </c>
      <c r="G93" s="22">
        <v>2602</v>
      </c>
      <c r="H93" s="22"/>
      <c r="I93" s="39">
        <f t="shared" si="20"/>
        <v>2602</v>
      </c>
      <c r="J93" s="402">
        <v>15</v>
      </c>
      <c r="K93" s="407" t="e">
        <f t="shared" si="17"/>
        <v>#REF!</v>
      </c>
      <c r="L93" s="229" t="s">
        <v>553</v>
      </c>
      <c r="M93" s="179" t="e">
        <f>0.375*(2.34/3.43)*#REF!</f>
        <v>#REF!</v>
      </c>
      <c r="N93" s="169" t="e">
        <f t="shared" si="18"/>
        <v>#REF!</v>
      </c>
      <c r="O93" s="376">
        <f>'рабочая не печать '!K28</f>
        <v>0.94</v>
      </c>
      <c r="P93" s="42"/>
      <c r="Q93" s="22">
        <f>'рабочая не печать '!M28</f>
        <v>46</v>
      </c>
      <c r="R93" s="385">
        <f>'рабочая не печать '!N28</f>
        <v>50</v>
      </c>
      <c r="V93" s="38">
        <f t="shared" si="19"/>
        <v>4.2454152</v>
      </c>
      <c r="W93" s="376">
        <v>0</v>
      </c>
      <c r="X93" s="42">
        <v>0</v>
      </c>
      <c r="Y93" s="393">
        <v>0</v>
      </c>
    </row>
    <row r="94" spans="1:25" ht="49.5" customHeight="1">
      <c r="A94" s="178">
        <v>21</v>
      </c>
      <c r="B94" s="22" t="s">
        <v>726</v>
      </c>
      <c r="C94" s="22" t="s">
        <v>689</v>
      </c>
      <c r="D94" s="42">
        <v>1.72</v>
      </c>
      <c r="E94" s="42">
        <v>1.72</v>
      </c>
      <c r="F94" s="42">
        <v>15</v>
      </c>
      <c r="G94" s="22"/>
      <c r="H94" s="22">
        <v>14300</v>
      </c>
      <c r="I94" s="39">
        <f t="shared" si="20"/>
        <v>14300</v>
      </c>
      <c r="J94" s="402">
        <v>15</v>
      </c>
      <c r="K94" s="407" t="e">
        <f t="shared" si="17"/>
        <v>#REF!</v>
      </c>
      <c r="L94" s="229" t="s">
        <v>553</v>
      </c>
      <c r="M94" s="179" t="e">
        <f>0.375*(2.34/3.43)*#REF!</f>
        <v>#REF!</v>
      </c>
      <c r="N94" s="169" t="e">
        <f t="shared" si="18"/>
        <v>#REF!</v>
      </c>
      <c r="O94" s="376">
        <f>'рабочая не печать '!K29</f>
        <v>1.12</v>
      </c>
      <c r="P94" s="42"/>
      <c r="Q94" s="22">
        <f>'рабочая не печать '!M29</f>
        <v>55</v>
      </c>
      <c r="R94" s="385">
        <f>'рабочая не печать '!N29</f>
        <v>50</v>
      </c>
      <c r="V94" s="38">
        <f t="shared" si="19"/>
        <v>4.6808424</v>
      </c>
      <c r="W94" s="376">
        <v>0</v>
      </c>
      <c r="X94" s="42">
        <v>0</v>
      </c>
      <c r="Y94" s="393">
        <v>0</v>
      </c>
    </row>
    <row r="95" spans="1:25" ht="49.5" customHeight="1">
      <c r="A95" s="178">
        <v>22</v>
      </c>
      <c r="B95" s="22" t="s">
        <v>727</v>
      </c>
      <c r="C95" s="22" t="s">
        <v>689</v>
      </c>
      <c r="D95" s="42">
        <v>2.3</v>
      </c>
      <c r="E95" s="42">
        <v>2.3</v>
      </c>
      <c r="F95" s="42">
        <f>'рабочая не печать '!E30</f>
        <v>15</v>
      </c>
      <c r="G95" s="22">
        <v>3003</v>
      </c>
      <c r="H95" s="22">
        <v>10748</v>
      </c>
      <c r="I95" s="39">
        <f t="shared" si="20"/>
        <v>13751</v>
      </c>
      <c r="J95" s="402">
        <v>15</v>
      </c>
      <c r="K95" s="407" t="e">
        <f t="shared" si="17"/>
        <v>#REF!</v>
      </c>
      <c r="L95" s="229" t="s">
        <v>553</v>
      </c>
      <c r="M95" s="179" t="e">
        <f>0.375*(2.34/3.43)*#REF!</f>
        <v>#REF!</v>
      </c>
      <c r="N95" s="169" t="e">
        <f t="shared" si="18"/>
        <v>#REF!</v>
      </c>
      <c r="O95" s="376">
        <f>'рабочая не печать '!K30</f>
        <v>0.8</v>
      </c>
      <c r="P95" s="42"/>
      <c r="Q95" s="22">
        <f>'рабочая не печать '!M30</f>
        <v>30</v>
      </c>
      <c r="R95" s="385">
        <f>'рабочая не печать '!N30</f>
        <v>30</v>
      </c>
      <c r="V95" s="38">
        <f t="shared" si="19"/>
        <v>6.259266</v>
      </c>
      <c r="W95" s="376">
        <v>0</v>
      </c>
      <c r="X95" s="42">
        <v>0</v>
      </c>
      <c r="Y95" s="393">
        <v>0</v>
      </c>
    </row>
    <row r="96" spans="1:25" ht="49.5" customHeight="1">
      <c r="A96" s="178">
        <v>23</v>
      </c>
      <c r="B96" s="22" t="s">
        <v>728</v>
      </c>
      <c r="C96" s="22" t="s">
        <v>689</v>
      </c>
      <c r="D96" s="42">
        <v>7.98</v>
      </c>
      <c r="E96" s="42">
        <v>7.98</v>
      </c>
      <c r="F96" s="42">
        <f>'рабочая не печать '!E31</f>
        <v>15</v>
      </c>
      <c r="G96" s="22">
        <v>56125</v>
      </c>
      <c r="H96" s="22">
        <v>600</v>
      </c>
      <c r="I96" s="39">
        <f t="shared" si="20"/>
        <v>56725</v>
      </c>
      <c r="J96" s="402">
        <v>15</v>
      </c>
      <c r="K96" s="407" t="e">
        <f t="shared" si="17"/>
        <v>#REF!</v>
      </c>
      <c r="L96" s="229" t="s">
        <v>553</v>
      </c>
      <c r="M96" s="179" t="e">
        <f>0.375*(2.34/3.43)*#REF!</f>
        <v>#REF!</v>
      </c>
      <c r="N96" s="169" t="e">
        <f t="shared" si="18"/>
        <v>#REF!</v>
      </c>
      <c r="O96" s="376">
        <f>'рабочая не печать '!K31</f>
        <v>8.76</v>
      </c>
      <c r="P96" s="42"/>
      <c r="Q96" s="22">
        <f>'рабочая не печать '!M31</f>
        <v>66</v>
      </c>
      <c r="R96" s="385">
        <f>'рабочая не печать '!N31</f>
        <v>400</v>
      </c>
      <c r="V96" s="38">
        <f t="shared" si="19"/>
        <v>21.716931600000002</v>
      </c>
      <c r="W96" s="376">
        <v>0</v>
      </c>
      <c r="X96" s="42">
        <v>0</v>
      </c>
      <c r="Y96" s="393">
        <v>0</v>
      </c>
    </row>
    <row r="97" spans="1:25" ht="49.5" customHeight="1">
      <c r="A97" s="178">
        <v>24</v>
      </c>
      <c r="B97" s="22" t="s">
        <v>729</v>
      </c>
      <c r="C97" s="22" t="s">
        <v>730</v>
      </c>
      <c r="D97" s="42">
        <v>6.45</v>
      </c>
      <c r="E97" s="42">
        <v>6.45</v>
      </c>
      <c r="F97" s="42">
        <f>'рабочая не печать '!E32</f>
        <v>15</v>
      </c>
      <c r="G97" s="22">
        <v>39100</v>
      </c>
      <c r="H97" s="22">
        <v>8871</v>
      </c>
      <c r="I97" s="39">
        <f t="shared" si="20"/>
        <v>47971</v>
      </c>
      <c r="J97" s="402">
        <v>15</v>
      </c>
      <c r="K97" s="407" t="e">
        <f t="shared" si="17"/>
        <v>#REF!</v>
      </c>
      <c r="L97" s="229" t="s">
        <v>56</v>
      </c>
      <c r="M97" s="169" t="e">
        <f>0.242*(2.34/3.43)*#REF!</f>
        <v>#REF!</v>
      </c>
      <c r="N97" s="169" t="e">
        <f t="shared" si="18"/>
        <v>#REF!</v>
      </c>
      <c r="O97" s="376">
        <f>'рабочая не печать '!K32</f>
        <v>9.2</v>
      </c>
      <c r="P97" s="42"/>
      <c r="Q97" s="22">
        <f>'рабочая не печать '!M32</f>
        <v>58</v>
      </c>
      <c r="R97" s="385">
        <f>'рабочая не печать '!N32</f>
        <v>157</v>
      </c>
      <c r="V97" s="38">
        <f t="shared" si="19"/>
        <v>17.553159</v>
      </c>
      <c r="W97" s="376">
        <f>O97</f>
        <v>9.2</v>
      </c>
      <c r="X97" s="42">
        <f aca="true" t="shared" si="21" ref="X97:Y99">Q97</f>
        <v>58</v>
      </c>
      <c r="Y97" s="393">
        <f t="shared" si="21"/>
        <v>157</v>
      </c>
    </row>
    <row r="98" spans="1:25" ht="49.5" customHeight="1">
      <c r="A98" s="178">
        <v>25</v>
      </c>
      <c r="B98" s="22" t="s">
        <v>732</v>
      </c>
      <c r="C98" s="22" t="s">
        <v>700</v>
      </c>
      <c r="D98" s="42">
        <v>6.45</v>
      </c>
      <c r="E98" s="42">
        <v>6.45</v>
      </c>
      <c r="F98" s="42">
        <f>'рабочая не печать '!E33</f>
        <v>15</v>
      </c>
      <c r="G98" s="22">
        <v>39940</v>
      </c>
      <c r="H98" s="22">
        <v>4600</v>
      </c>
      <c r="I98" s="39">
        <f t="shared" si="20"/>
        <v>44540</v>
      </c>
      <c r="J98" s="402">
        <v>15</v>
      </c>
      <c r="K98" s="407" t="e">
        <f t="shared" si="17"/>
        <v>#REF!</v>
      </c>
      <c r="L98" s="229" t="s">
        <v>56</v>
      </c>
      <c r="M98" s="169" t="e">
        <f>0.242*(2.34/3.43)*#REF!</f>
        <v>#REF!</v>
      </c>
      <c r="N98" s="169" t="e">
        <f t="shared" si="18"/>
        <v>#REF!</v>
      </c>
      <c r="O98" s="376">
        <f>'рабочая не печать '!K33</f>
        <v>11.57</v>
      </c>
      <c r="P98" s="42"/>
      <c r="Q98" s="22">
        <f>'рабочая не печать '!M33</f>
        <v>49</v>
      </c>
      <c r="R98" s="385">
        <f>O98*'рабочая не печать '!$N$63</f>
        <v>1086.6808369312523</v>
      </c>
      <c r="V98" s="38">
        <f t="shared" si="19"/>
        <v>17.553159</v>
      </c>
      <c r="W98" s="376">
        <f>O98</f>
        <v>11.57</v>
      </c>
      <c r="X98" s="42">
        <f t="shared" si="21"/>
        <v>49</v>
      </c>
      <c r="Y98" s="393">
        <f t="shared" si="21"/>
        <v>1086.6808369312523</v>
      </c>
    </row>
    <row r="99" spans="1:25" ht="49.5" customHeight="1" thickBot="1">
      <c r="A99" s="178">
        <v>26</v>
      </c>
      <c r="B99" s="47" t="s">
        <v>733</v>
      </c>
      <c r="C99" s="47" t="s">
        <v>734</v>
      </c>
      <c r="D99" s="49">
        <v>6.45</v>
      </c>
      <c r="E99" s="49">
        <v>6.45</v>
      </c>
      <c r="F99" s="42">
        <f>E99*'рабочая не печать '!$D$63</f>
        <v>1363.342406663692</v>
      </c>
      <c r="G99" s="47">
        <v>52020</v>
      </c>
      <c r="H99" s="47">
        <v>4716</v>
      </c>
      <c r="I99" s="160">
        <f t="shared" si="20"/>
        <v>56736</v>
      </c>
      <c r="J99" s="402">
        <v>1363.34</v>
      </c>
      <c r="K99" s="407" t="e">
        <f t="shared" si="17"/>
        <v>#REF!</v>
      </c>
      <c r="L99" s="232" t="s">
        <v>56</v>
      </c>
      <c r="M99" s="169" t="e">
        <f>0.242*(2.34/3.43)*#REF!</f>
        <v>#REF!</v>
      </c>
      <c r="N99" s="179" t="e">
        <f t="shared" si="18"/>
        <v>#REF!</v>
      </c>
      <c r="O99" s="376">
        <f>'рабочая не печать '!$K$63</f>
        <v>2.2303703703703697</v>
      </c>
      <c r="P99" s="49"/>
      <c r="Q99" s="22">
        <f>'рабочая не печать '!$M$61</f>
        <v>51.25925925925926</v>
      </c>
      <c r="R99" s="385">
        <f>O99*'рабочая не печать '!$N$63</f>
        <v>209.48148148148147</v>
      </c>
      <c r="V99" s="38">
        <f t="shared" si="19"/>
        <v>17.553159</v>
      </c>
      <c r="W99" s="376">
        <f>O99</f>
        <v>2.2303703703703697</v>
      </c>
      <c r="X99" s="42">
        <f t="shared" si="21"/>
        <v>51.25925925925926</v>
      </c>
      <c r="Y99" s="393">
        <f t="shared" si="21"/>
        <v>209.48148148148147</v>
      </c>
    </row>
    <row r="100" spans="1:25" s="231" customFormat="1" ht="61.5" customHeight="1" thickBot="1">
      <c r="A100" s="198"/>
      <c r="B100" s="200" t="s">
        <v>735</v>
      </c>
      <c r="C100" s="200">
        <v>26</v>
      </c>
      <c r="D100" s="199">
        <f aca="true" t="shared" si="22" ref="D100:P100">SUM(D74:D99)</f>
        <v>69.00000000000001</v>
      </c>
      <c r="E100" s="199">
        <f t="shared" si="22"/>
        <v>69.00000000000001</v>
      </c>
      <c r="F100" s="199">
        <f t="shared" si="22"/>
        <v>2796.7930784867867</v>
      </c>
      <c r="G100" s="200">
        <f t="shared" si="22"/>
        <v>362713</v>
      </c>
      <c r="H100" s="200">
        <f t="shared" si="22"/>
        <v>87083</v>
      </c>
      <c r="I100" s="200">
        <f t="shared" si="22"/>
        <v>449796</v>
      </c>
      <c r="J100" s="404">
        <f t="shared" si="22"/>
        <v>2796.8</v>
      </c>
      <c r="K100" s="406" t="e">
        <f>SUM(K74:K99)</f>
        <v>#REF!</v>
      </c>
      <c r="L100" s="220"/>
      <c r="M100" s="199" t="e">
        <f>K100/I100</f>
        <v>#REF!</v>
      </c>
      <c r="N100" s="175" t="e">
        <f>SUM(N74:N99)</f>
        <v>#REF!</v>
      </c>
      <c r="O100" s="378">
        <f t="shared" si="22"/>
        <v>64.50222222222222</v>
      </c>
      <c r="P100" s="199">
        <f t="shared" si="22"/>
        <v>0</v>
      </c>
      <c r="Q100" s="200">
        <f>SUM(Q74:Q99)/C100</f>
        <v>51.434472934472936</v>
      </c>
      <c r="R100" s="387">
        <f>SUM(R74:R99)</f>
        <v>4039.536514262519</v>
      </c>
      <c r="V100" s="199">
        <f>SUM(V74:V99)</f>
        <v>187.77797999999999</v>
      </c>
      <c r="W100" s="378">
        <f>SUM(W74:W99)</f>
        <v>35.420370370370364</v>
      </c>
      <c r="X100" s="199">
        <f>SUM(X74:X99)</f>
        <v>315.25925925925924</v>
      </c>
      <c r="Y100" s="395">
        <f>SUM(Y74:Y99)</f>
        <v>2053.162318412734</v>
      </c>
    </row>
    <row r="101" spans="1:25" s="234" customFormat="1" ht="49.5" customHeight="1">
      <c r="A101" s="225"/>
      <c r="B101" s="223" t="s">
        <v>736</v>
      </c>
      <c r="C101" s="226"/>
      <c r="D101" s="227"/>
      <c r="E101" s="227"/>
      <c r="F101" s="227"/>
      <c r="G101" s="226"/>
      <c r="H101" s="226"/>
      <c r="I101" s="223"/>
      <c r="J101" s="408"/>
      <c r="K101" s="408"/>
      <c r="L101" s="223"/>
      <c r="M101" s="227"/>
      <c r="N101" s="227"/>
      <c r="O101" s="381"/>
      <c r="P101" s="227"/>
      <c r="Q101" s="249"/>
      <c r="R101" s="388"/>
      <c r="V101" s="222"/>
      <c r="W101" s="381"/>
      <c r="X101" s="227"/>
      <c r="Y101" s="397"/>
    </row>
    <row r="102" spans="1:25" ht="49.5" customHeight="1">
      <c r="A102" s="823">
        <v>1</v>
      </c>
      <c r="B102" s="805" t="s">
        <v>738</v>
      </c>
      <c r="C102" s="805" t="s">
        <v>737</v>
      </c>
      <c r="D102" s="42">
        <v>2.12</v>
      </c>
      <c r="E102" s="42">
        <v>2.12</v>
      </c>
      <c r="F102" s="42">
        <f>E102*'рабочая не печать '!$D$63</f>
        <v>448.10634141504295</v>
      </c>
      <c r="G102" s="22">
        <v>58828</v>
      </c>
      <c r="H102" s="22"/>
      <c r="I102" s="39">
        <f t="shared" si="20"/>
        <v>58828</v>
      </c>
      <c r="J102" s="402">
        <v>448.11</v>
      </c>
      <c r="K102" s="407" t="e">
        <f>SUM(M102*I102)</f>
        <v>#REF!</v>
      </c>
      <c r="L102" s="229" t="s">
        <v>553</v>
      </c>
      <c r="M102" s="179" t="e">
        <f>0.375*(2.34/3.43)*#REF!</f>
        <v>#REF!</v>
      </c>
      <c r="N102" s="169" t="e">
        <f aca="true" t="shared" si="23" ref="N102:N107">SUM(K102*0.05)</f>
        <v>#REF!</v>
      </c>
      <c r="O102" s="376">
        <f>'рабочая не печать '!$K$63</f>
        <v>2.2303703703703697</v>
      </c>
      <c r="P102" s="42"/>
      <c r="Q102" s="22">
        <v>95</v>
      </c>
      <c r="R102" s="385">
        <f>O102*'рабочая не печать '!$N$63</f>
        <v>209.48148148148147</v>
      </c>
      <c r="V102" s="38">
        <f>SUM(E102*2.34*1.163)</f>
        <v>5.7694104</v>
      </c>
      <c r="W102" s="376">
        <v>0</v>
      </c>
      <c r="X102" s="42">
        <v>0</v>
      </c>
      <c r="Y102" s="393">
        <v>0</v>
      </c>
    </row>
    <row r="103" spans="1:25" ht="49.5" customHeight="1">
      <c r="A103" s="841"/>
      <c r="B103" s="844"/>
      <c r="C103" s="839"/>
      <c r="D103" s="42">
        <v>2.67</v>
      </c>
      <c r="E103" s="42">
        <v>2.67</v>
      </c>
      <c r="F103" s="42">
        <f>E103*'рабочая не печать '!$D$63</f>
        <v>564.36034508404</v>
      </c>
      <c r="G103" s="22">
        <v>76762</v>
      </c>
      <c r="H103" s="22"/>
      <c r="I103" s="39">
        <f t="shared" si="20"/>
        <v>76762</v>
      </c>
      <c r="J103" s="402">
        <v>564.36</v>
      </c>
      <c r="K103" s="407" t="e">
        <f>SUM(M103*I103)</f>
        <v>#REF!</v>
      </c>
      <c r="L103" s="229" t="s">
        <v>553</v>
      </c>
      <c r="M103" s="179" t="e">
        <f>0.375*(2.34/3.43)*#REF!</f>
        <v>#REF!</v>
      </c>
      <c r="N103" s="169" t="e">
        <f t="shared" si="23"/>
        <v>#REF!</v>
      </c>
      <c r="O103" s="376">
        <f>'рабочая не печать '!$K$63</f>
        <v>2.2303703703703697</v>
      </c>
      <c r="P103" s="42"/>
      <c r="Q103" s="22">
        <v>95</v>
      </c>
      <c r="R103" s="385">
        <f>O103*'рабочая не печать '!$N$63</f>
        <v>209.48148148148147</v>
      </c>
      <c r="V103" s="38">
        <f>SUM(E103*2.34*1.163)</f>
        <v>7.2661914</v>
      </c>
      <c r="W103" s="376">
        <v>0</v>
      </c>
      <c r="X103" s="42">
        <v>0</v>
      </c>
      <c r="Y103" s="393">
        <v>0</v>
      </c>
    </row>
    <row r="104" spans="1:25" ht="49.5" customHeight="1">
      <c r="A104" s="841"/>
      <c r="B104" s="844"/>
      <c r="C104" s="839"/>
      <c r="D104" s="42">
        <v>2.09</v>
      </c>
      <c r="E104" s="42">
        <v>2.09</v>
      </c>
      <c r="F104" s="42">
        <f>E104*'рабочая не печать '!$D$63</f>
        <v>441.76521394218855</v>
      </c>
      <c r="G104" s="22">
        <v>41232</v>
      </c>
      <c r="H104" s="22"/>
      <c r="I104" s="39">
        <f t="shared" si="20"/>
        <v>41232</v>
      </c>
      <c r="J104" s="402">
        <v>441.77</v>
      </c>
      <c r="K104" s="407" t="e">
        <f>SUM(M104*I104)</f>
        <v>#REF!</v>
      </c>
      <c r="L104" s="229" t="s">
        <v>553</v>
      </c>
      <c r="M104" s="179" t="e">
        <f>0.375*(2.34/3.43)*#REF!</f>
        <v>#REF!</v>
      </c>
      <c r="N104" s="169" t="e">
        <f t="shared" si="23"/>
        <v>#REF!</v>
      </c>
      <c r="O104" s="376">
        <f>'рабочая не печать '!$K$63</f>
        <v>2.2303703703703697</v>
      </c>
      <c r="P104" s="42"/>
      <c r="Q104" s="22">
        <v>95</v>
      </c>
      <c r="R104" s="385">
        <f>O104*'рабочая не печать '!$N$63</f>
        <v>209.48148148148147</v>
      </c>
      <c r="V104" s="38">
        <f>SUM(E104*2.34*1.163)</f>
        <v>5.6877678</v>
      </c>
      <c r="W104" s="376">
        <v>0</v>
      </c>
      <c r="X104" s="42">
        <v>0</v>
      </c>
      <c r="Y104" s="393">
        <v>0</v>
      </c>
    </row>
    <row r="105" spans="1:25" ht="49.5" customHeight="1">
      <c r="A105" s="841"/>
      <c r="B105" s="844"/>
      <c r="C105" s="839"/>
      <c r="D105" s="42">
        <v>1.9</v>
      </c>
      <c r="E105" s="42">
        <v>1.9</v>
      </c>
      <c r="F105" s="42">
        <f>E105*'рабочая не печать '!$D$63</f>
        <v>401.60473994744416</v>
      </c>
      <c r="G105" s="22">
        <v>33538</v>
      </c>
      <c r="H105" s="22"/>
      <c r="I105" s="39">
        <f t="shared" si="20"/>
        <v>33538</v>
      </c>
      <c r="J105" s="402">
        <v>401.6</v>
      </c>
      <c r="K105" s="407" t="e">
        <f>SUM(M105*I105)</f>
        <v>#REF!</v>
      </c>
      <c r="L105" s="229" t="s">
        <v>553</v>
      </c>
      <c r="M105" s="179" t="e">
        <f>0.375*(2.34/3.43)*#REF!</f>
        <v>#REF!</v>
      </c>
      <c r="N105" s="169" t="e">
        <f t="shared" si="23"/>
        <v>#REF!</v>
      </c>
      <c r="O105" s="376">
        <f>'рабочая не печать '!$K$63</f>
        <v>2.2303703703703697</v>
      </c>
      <c r="P105" s="42"/>
      <c r="Q105" s="22">
        <v>95</v>
      </c>
      <c r="R105" s="385">
        <f>O105*'рабочая не печать '!$N$63</f>
        <v>209.48148148148147</v>
      </c>
      <c r="V105" s="38">
        <f>SUM(E105*2.34*1.163)</f>
        <v>5.170698</v>
      </c>
      <c r="W105" s="376">
        <v>0</v>
      </c>
      <c r="X105" s="42">
        <v>0</v>
      </c>
      <c r="Y105" s="393">
        <v>0</v>
      </c>
    </row>
    <row r="106" spans="1:25" ht="49.5" customHeight="1">
      <c r="A106" s="841"/>
      <c r="B106" s="844"/>
      <c r="C106" s="839"/>
      <c r="D106" s="42">
        <v>2.54</v>
      </c>
      <c r="E106" s="42">
        <v>2.54</v>
      </c>
      <c r="F106" s="42">
        <f>E106*'рабочая не печать '!$D$63</f>
        <v>536.8821260350043</v>
      </c>
      <c r="G106" s="22">
        <v>23333</v>
      </c>
      <c r="H106" s="22"/>
      <c r="I106" s="39">
        <f t="shared" si="20"/>
        <v>23333</v>
      </c>
      <c r="J106" s="402">
        <v>536.88</v>
      </c>
      <c r="K106" s="407" t="e">
        <f>SUM(M106*I106)</f>
        <v>#REF!</v>
      </c>
      <c r="L106" s="229" t="s">
        <v>553</v>
      </c>
      <c r="M106" s="179" t="e">
        <f>0.375*(2.34/3.43)*#REF!</f>
        <v>#REF!</v>
      </c>
      <c r="N106" s="169" t="e">
        <f t="shared" si="23"/>
        <v>#REF!</v>
      </c>
      <c r="O106" s="376">
        <f>'рабочая не печать '!$K$63</f>
        <v>2.2303703703703697</v>
      </c>
      <c r="P106" s="42"/>
      <c r="Q106" s="22">
        <v>95</v>
      </c>
      <c r="R106" s="385">
        <f>O106*'рабочая не печать '!$N$63</f>
        <v>209.48148148148147</v>
      </c>
      <c r="V106" s="38">
        <f>SUM(E106*2.34*1.163)</f>
        <v>6.9124068</v>
      </c>
      <c r="W106" s="376">
        <v>0</v>
      </c>
      <c r="X106" s="42">
        <v>0</v>
      </c>
      <c r="Y106" s="393">
        <v>0</v>
      </c>
    </row>
    <row r="107" spans="1:25" ht="49.5" customHeight="1">
      <c r="A107" s="841"/>
      <c r="B107" s="844"/>
      <c r="C107" s="839"/>
      <c r="D107" s="42">
        <v>0.035</v>
      </c>
      <c r="E107" s="42">
        <v>0.035</v>
      </c>
      <c r="F107" s="42">
        <f>E107*'рабочая не печать '!$D$63</f>
        <v>7.397982051663446</v>
      </c>
      <c r="G107" s="22"/>
      <c r="H107" s="22">
        <v>2090</v>
      </c>
      <c r="I107" s="39">
        <f t="shared" si="20"/>
        <v>2090</v>
      </c>
      <c r="J107" s="402">
        <v>7.4</v>
      </c>
      <c r="K107" s="675">
        <v>4460</v>
      </c>
      <c r="L107" s="765" t="s">
        <v>131</v>
      </c>
      <c r="M107" s="205">
        <f>K107/H113</f>
        <v>0.1251508263883043</v>
      </c>
      <c r="N107" s="762">
        <f t="shared" si="23"/>
        <v>223</v>
      </c>
      <c r="O107" s="376">
        <f>'рабочая не печать '!$K$63</f>
        <v>2.2303703703703697</v>
      </c>
      <c r="P107" s="42"/>
      <c r="Q107" s="22">
        <v>95</v>
      </c>
      <c r="R107" s="385">
        <f>O107*'рабочая не печать '!$N$63</f>
        <v>209.48148148148147</v>
      </c>
      <c r="V107" s="775" t="s">
        <v>843</v>
      </c>
      <c r="W107" s="376">
        <v>0</v>
      </c>
      <c r="X107" s="42">
        <v>0</v>
      </c>
      <c r="Y107" s="393">
        <v>0</v>
      </c>
    </row>
    <row r="108" spans="1:25" ht="49.5" customHeight="1">
      <c r="A108" s="841"/>
      <c r="B108" s="844"/>
      <c r="C108" s="839"/>
      <c r="D108" s="42">
        <v>0.14</v>
      </c>
      <c r="E108" s="42">
        <v>0.14</v>
      </c>
      <c r="F108" s="42">
        <f>E108*'рабочая не печать '!$D$63</f>
        <v>29.591928206653783</v>
      </c>
      <c r="G108" s="22"/>
      <c r="H108" s="22">
        <v>2778</v>
      </c>
      <c r="I108" s="39">
        <f t="shared" si="20"/>
        <v>2778</v>
      </c>
      <c r="J108" s="402">
        <v>29.59</v>
      </c>
      <c r="K108" s="760"/>
      <c r="L108" s="766"/>
      <c r="M108" s="205">
        <f>M107</f>
        <v>0.1251508263883043</v>
      </c>
      <c r="N108" s="763"/>
      <c r="O108" s="376">
        <f>'рабочая не печать '!$K$63</f>
        <v>2.2303703703703697</v>
      </c>
      <c r="P108" s="42"/>
      <c r="Q108" s="22">
        <v>95</v>
      </c>
      <c r="R108" s="385">
        <f>O108*'рабочая не печать '!$N$63</f>
        <v>209.48148148148147</v>
      </c>
      <c r="V108" s="776"/>
      <c r="W108" s="376">
        <v>0</v>
      </c>
      <c r="X108" s="42">
        <v>0</v>
      </c>
      <c r="Y108" s="393">
        <v>0</v>
      </c>
    </row>
    <row r="109" spans="1:25" ht="49.5" customHeight="1">
      <c r="A109" s="841"/>
      <c r="B109" s="844"/>
      <c r="C109" s="839"/>
      <c r="D109" s="42">
        <v>0.52</v>
      </c>
      <c r="E109" s="42">
        <v>0.52</v>
      </c>
      <c r="F109" s="42">
        <f>E109*'рабочая не печать '!$D$63</f>
        <v>109.91287619614262</v>
      </c>
      <c r="G109" s="22"/>
      <c r="H109" s="22">
        <v>15480</v>
      </c>
      <c r="I109" s="39">
        <f t="shared" si="20"/>
        <v>15480</v>
      </c>
      <c r="J109" s="402">
        <v>109.91</v>
      </c>
      <c r="K109" s="760"/>
      <c r="L109" s="766"/>
      <c r="M109" s="205">
        <f>M108</f>
        <v>0.1251508263883043</v>
      </c>
      <c r="N109" s="763"/>
      <c r="O109" s="376">
        <f>'рабочая не печать '!$K$63</f>
        <v>2.2303703703703697</v>
      </c>
      <c r="P109" s="42"/>
      <c r="Q109" s="22">
        <v>95</v>
      </c>
      <c r="R109" s="385">
        <f>O109*'рабочая не печать '!$N$63</f>
        <v>209.48148148148147</v>
      </c>
      <c r="V109" s="776"/>
      <c r="W109" s="376">
        <v>0</v>
      </c>
      <c r="X109" s="42">
        <v>0</v>
      </c>
      <c r="Y109" s="393">
        <v>0</v>
      </c>
    </row>
    <row r="110" spans="1:25" ht="49.5" customHeight="1">
      <c r="A110" s="841"/>
      <c r="B110" s="844"/>
      <c r="C110" s="839"/>
      <c r="D110" s="42">
        <v>0.6</v>
      </c>
      <c r="E110" s="42">
        <v>0.6</v>
      </c>
      <c r="F110" s="42">
        <f>E110*'рабочая не печать '!$D$63</f>
        <v>126.82254945708762</v>
      </c>
      <c r="G110" s="22"/>
      <c r="H110" s="22">
        <v>14300</v>
      </c>
      <c r="I110" s="39">
        <f t="shared" si="20"/>
        <v>14300</v>
      </c>
      <c r="J110" s="402">
        <v>126.82</v>
      </c>
      <c r="K110" s="760"/>
      <c r="L110" s="766"/>
      <c r="M110" s="205">
        <f>M109</f>
        <v>0.1251508263883043</v>
      </c>
      <c r="N110" s="763"/>
      <c r="O110" s="376">
        <f>'рабочая не печать '!$K$63</f>
        <v>2.2303703703703697</v>
      </c>
      <c r="P110" s="42"/>
      <c r="Q110" s="22">
        <v>95</v>
      </c>
      <c r="R110" s="385">
        <f>O110*'рабочая не печать '!$N$63</f>
        <v>209.48148148148147</v>
      </c>
      <c r="V110" s="776"/>
      <c r="W110" s="376">
        <v>0</v>
      </c>
      <c r="X110" s="42">
        <v>0</v>
      </c>
      <c r="Y110" s="393">
        <v>0</v>
      </c>
    </row>
    <row r="111" spans="1:25" ht="49.5" customHeight="1">
      <c r="A111" s="841"/>
      <c r="B111" s="844"/>
      <c r="C111" s="839"/>
      <c r="D111" s="42">
        <v>0.13</v>
      </c>
      <c r="E111" s="42">
        <v>0.13</v>
      </c>
      <c r="F111" s="42">
        <f>E111*'рабочая не печать '!$D$63</f>
        <v>27.478219049035655</v>
      </c>
      <c r="G111" s="22"/>
      <c r="H111" s="22">
        <v>895</v>
      </c>
      <c r="I111" s="39">
        <f t="shared" si="20"/>
        <v>895</v>
      </c>
      <c r="J111" s="402">
        <v>27.48</v>
      </c>
      <c r="K111" s="760"/>
      <c r="L111" s="766"/>
      <c r="M111" s="205">
        <f>M110</f>
        <v>0.1251508263883043</v>
      </c>
      <c r="N111" s="763"/>
      <c r="O111" s="376">
        <f>'рабочая не печать '!$K$63</f>
        <v>2.2303703703703697</v>
      </c>
      <c r="P111" s="42"/>
      <c r="Q111" s="22">
        <v>95</v>
      </c>
      <c r="R111" s="385">
        <f>O111*'рабочая не печать '!$N$63</f>
        <v>209.48148148148147</v>
      </c>
      <c r="V111" s="776"/>
      <c r="W111" s="376">
        <v>0</v>
      </c>
      <c r="X111" s="42">
        <v>0</v>
      </c>
      <c r="Y111" s="393">
        <v>0</v>
      </c>
    </row>
    <row r="112" spans="1:25" ht="49.5" customHeight="1" thickBot="1">
      <c r="A112" s="842"/>
      <c r="B112" s="845"/>
      <c r="C112" s="840"/>
      <c r="D112" s="49">
        <v>0.05</v>
      </c>
      <c r="E112" s="49">
        <v>0.05</v>
      </c>
      <c r="F112" s="42">
        <f>E112*'рабочая не печать '!$D$63</f>
        <v>10.568545788090637</v>
      </c>
      <c r="G112" s="47"/>
      <c r="H112" s="47">
        <v>94</v>
      </c>
      <c r="I112" s="160">
        <f t="shared" si="20"/>
        <v>94</v>
      </c>
      <c r="J112" s="402">
        <v>10.57</v>
      </c>
      <c r="K112" s="761"/>
      <c r="L112" s="767"/>
      <c r="M112" s="205">
        <f>M111</f>
        <v>0.1251508263883043</v>
      </c>
      <c r="N112" s="764"/>
      <c r="O112" s="376">
        <f>'рабочая не печать '!$K$63</f>
        <v>2.2303703703703697</v>
      </c>
      <c r="P112" s="49"/>
      <c r="Q112" s="22">
        <v>95</v>
      </c>
      <c r="R112" s="385">
        <f>O112*'рабочая не печать '!$N$63</f>
        <v>209.48148148148147</v>
      </c>
      <c r="V112" s="777"/>
      <c r="W112" s="377">
        <v>0</v>
      </c>
      <c r="X112" s="42">
        <v>0</v>
      </c>
      <c r="Y112" s="393">
        <v>0</v>
      </c>
    </row>
    <row r="113" spans="1:25" s="231" customFormat="1" ht="60" customHeight="1" thickBot="1">
      <c r="A113" s="198"/>
      <c r="B113" s="200" t="s">
        <v>746</v>
      </c>
      <c r="C113" s="200">
        <f>A102</f>
        <v>1</v>
      </c>
      <c r="D113" s="199">
        <f aca="true" t="shared" si="24" ref="D113:P113">SUM(D102:D112)</f>
        <v>12.795000000000002</v>
      </c>
      <c r="E113" s="199">
        <f t="shared" si="24"/>
        <v>12.795000000000002</v>
      </c>
      <c r="F113" s="199">
        <f t="shared" si="24"/>
        <v>2704.490867172393</v>
      </c>
      <c r="G113" s="200">
        <f t="shared" si="24"/>
        <v>233693</v>
      </c>
      <c r="H113" s="200">
        <f t="shared" si="24"/>
        <v>35637</v>
      </c>
      <c r="I113" s="200">
        <f t="shared" si="24"/>
        <v>269330</v>
      </c>
      <c r="J113" s="404">
        <f t="shared" si="24"/>
        <v>2704.4900000000007</v>
      </c>
      <c r="K113" s="406" t="e">
        <f>SUM(K102:K112)</f>
        <v>#REF!</v>
      </c>
      <c r="L113" s="220"/>
      <c r="M113" s="199" t="e">
        <f>K113/I113</f>
        <v>#REF!</v>
      </c>
      <c r="N113" s="175" t="e">
        <f>SUM(N102:N112)</f>
        <v>#REF!</v>
      </c>
      <c r="O113" s="378">
        <f t="shared" si="24"/>
        <v>24.534074074074066</v>
      </c>
      <c r="P113" s="199">
        <f t="shared" si="24"/>
        <v>0</v>
      </c>
      <c r="Q113" s="200">
        <f>SUM(Q102:Q112)/11</f>
        <v>95</v>
      </c>
      <c r="R113" s="387">
        <f>SUM(R102:R112)</f>
        <v>2304.296296296296</v>
      </c>
      <c r="V113" s="199">
        <f>SUM(V102:V112)</f>
        <v>30.8064744</v>
      </c>
      <c r="W113" s="378">
        <f>SUM(W102:W112)</f>
        <v>0</v>
      </c>
      <c r="X113" s="199">
        <f>SUM(X102:X112)</f>
        <v>0</v>
      </c>
      <c r="Y113" s="395">
        <f>SUM(Y102:Y112)</f>
        <v>0</v>
      </c>
    </row>
    <row r="114" spans="1:25" s="233" customFormat="1" ht="49.5" customHeight="1">
      <c r="A114" s="161"/>
      <c r="B114" s="235" t="s">
        <v>747</v>
      </c>
      <c r="C114" s="171"/>
      <c r="D114" s="76"/>
      <c r="E114" s="76"/>
      <c r="F114" s="76"/>
      <c r="G114" s="171"/>
      <c r="H114" s="171"/>
      <c r="I114" s="176"/>
      <c r="J114" s="400"/>
      <c r="K114" s="400"/>
      <c r="L114" s="176"/>
      <c r="M114" s="76"/>
      <c r="N114" s="76"/>
      <c r="O114" s="375"/>
      <c r="P114" s="76"/>
      <c r="Q114" s="171"/>
      <c r="R114" s="384"/>
      <c r="V114" s="174"/>
      <c r="W114" s="375"/>
      <c r="X114" s="76"/>
      <c r="Y114" s="392"/>
    </row>
    <row r="115" spans="1:25" s="234" customFormat="1" ht="49.5" customHeight="1">
      <c r="A115" s="225"/>
      <c r="B115" s="36" t="s">
        <v>69</v>
      </c>
      <c r="C115" s="226"/>
      <c r="D115" s="227"/>
      <c r="E115" s="227"/>
      <c r="F115" s="227"/>
      <c r="G115" s="226"/>
      <c r="H115" s="226"/>
      <c r="I115" s="223"/>
      <c r="J115" s="408"/>
      <c r="K115" s="408"/>
      <c r="L115" s="223"/>
      <c r="M115" s="227"/>
      <c r="N115" s="227"/>
      <c r="O115" s="381"/>
      <c r="P115" s="227"/>
      <c r="Q115" s="226"/>
      <c r="R115" s="388"/>
      <c r="V115" s="222"/>
      <c r="W115" s="381"/>
      <c r="X115" s="227"/>
      <c r="Y115" s="397"/>
    </row>
    <row r="116" spans="1:25" ht="49.5" customHeight="1">
      <c r="A116" s="178">
        <v>1</v>
      </c>
      <c r="B116" s="247"/>
      <c r="C116" s="22" t="s">
        <v>748</v>
      </c>
      <c r="D116" s="42">
        <v>3.61</v>
      </c>
      <c r="E116" s="42">
        <v>3.61</v>
      </c>
      <c r="F116" s="42">
        <v>101.56</v>
      </c>
      <c r="G116" s="22">
        <v>40030</v>
      </c>
      <c r="H116" s="22"/>
      <c r="I116" s="39">
        <f t="shared" si="20"/>
        <v>40030</v>
      </c>
      <c r="J116" s="402">
        <v>101.56</v>
      </c>
      <c r="K116" s="407" t="e">
        <f aca="true" t="shared" si="25" ref="K116:K121">SUM(M116*I116)</f>
        <v>#REF!</v>
      </c>
      <c r="L116" s="229" t="s">
        <v>553</v>
      </c>
      <c r="M116" s="179" t="e">
        <f>0.375*(2.34/3.43)*#REF!</f>
        <v>#REF!</v>
      </c>
      <c r="N116" s="169" t="e">
        <f aca="true" t="shared" si="26" ref="N116:N121">SUM(K116*0.05)</f>
        <v>#REF!</v>
      </c>
      <c r="O116" s="376">
        <v>3.3</v>
      </c>
      <c r="P116" s="42"/>
      <c r="Q116" s="22">
        <v>93</v>
      </c>
      <c r="R116" s="385">
        <f>O116*'рабочая не печать '!$N$63</f>
        <v>309.94354035204253</v>
      </c>
      <c r="V116" s="38">
        <f>SUM(D116*2.34*1.163)</f>
        <v>9.8243262</v>
      </c>
      <c r="W116" s="376">
        <v>0</v>
      </c>
      <c r="X116" s="42">
        <v>0</v>
      </c>
      <c r="Y116" s="393">
        <v>0</v>
      </c>
    </row>
    <row r="117" spans="1:25" ht="49.5" customHeight="1">
      <c r="A117" s="823">
        <v>2</v>
      </c>
      <c r="B117" s="22"/>
      <c r="C117" s="22" t="s">
        <v>756</v>
      </c>
      <c r="D117" s="42">
        <v>0.18</v>
      </c>
      <c r="E117" s="42">
        <v>0.18</v>
      </c>
      <c r="F117" s="42">
        <f>E117*'рабочая не печать '!$D$63</f>
        <v>38.04676483712629</v>
      </c>
      <c r="G117" s="22"/>
      <c r="H117" s="22">
        <v>1259</v>
      </c>
      <c r="I117" s="39">
        <f t="shared" si="20"/>
        <v>1259</v>
      </c>
      <c r="J117" s="402">
        <v>38.05</v>
      </c>
      <c r="K117" s="407" t="e">
        <f t="shared" si="25"/>
        <v>#REF!</v>
      </c>
      <c r="L117" s="229" t="s">
        <v>553</v>
      </c>
      <c r="M117" s="179" t="e">
        <f>0.375*(2.34/3.43)*#REF!</f>
        <v>#REF!</v>
      </c>
      <c r="N117" s="169" t="e">
        <f t="shared" si="26"/>
        <v>#REF!</v>
      </c>
      <c r="O117" s="376">
        <f>'рабочая не печать '!$K$63</f>
        <v>2.2303703703703697</v>
      </c>
      <c r="P117" s="42"/>
      <c r="Q117" s="22">
        <f>'рабочая не печать '!$M$61</f>
        <v>51.25925925925926</v>
      </c>
      <c r="R117" s="385">
        <f>O117*'рабочая не печать '!$N$63</f>
        <v>209.48148148148147</v>
      </c>
      <c r="V117" s="38">
        <f aca="true" t="shared" si="27" ref="V117:V122">SUM(D117*2.34*1.163)</f>
        <v>0.48985559999999995</v>
      </c>
      <c r="W117" s="376">
        <v>0</v>
      </c>
      <c r="X117" s="42">
        <v>0</v>
      </c>
      <c r="Y117" s="393">
        <v>0</v>
      </c>
    </row>
    <row r="118" spans="1:25" ht="49.5" customHeight="1">
      <c r="A118" s="846"/>
      <c r="B118" s="22"/>
      <c r="C118" s="22" t="s">
        <v>756</v>
      </c>
      <c r="D118" s="42">
        <v>0.07</v>
      </c>
      <c r="E118" s="42">
        <v>0.07</v>
      </c>
      <c r="F118" s="42">
        <f>E118*'рабочая не печать '!$D$63</f>
        <v>14.795964103326892</v>
      </c>
      <c r="G118" s="22"/>
      <c r="H118" s="22">
        <v>805</v>
      </c>
      <c r="I118" s="39">
        <f>SUM(G118+H118)</f>
        <v>805</v>
      </c>
      <c r="J118" s="402">
        <v>14.8</v>
      </c>
      <c r="K118" s="407" t="e">
        <f t="shared" si="25"/>
        <v>#REF!</v>
      </c>
      <c r="L118" s="229" t="s">
        <v>553</v>
      </c>
      <c r="M118" s="179" t="e">
        <f>0.375*(2.34/3.43)*#REF!</f>
        <v>#REF!</v>
      </c>
      <c r="N118" s="169" t="e">
        <f t="shared" si="26"/>
        <v>#REF!</v>
      </c>
      <c r="O118" s="376">
        <f>'рабочая не печать '!$K$63</f>
        <v>2.2303703703703697</v>
      </c>
      <c r="P118" s="42"/>
      <c r="Q118" s="22">
        <f>Q116</f>
        <v>93</v>
      </c>
      <c r="R118" s="385">
        <f>O118*'рабочая не печать '!$N$63</f>
        <v>209.48148148148147</v>
      </c>
      <c r="V118" s="38">
        <f t="shared" si="27"/>
        <v>0.1904994</v>
      </c>
      <c r="W118" s="376">
        <v>0</v>
      </c>
      <c r="X118" s="42">
        <v>0</v>
      </c>
      <c r="Y118" s="393">
        <v>0</v>
      </c>
    </row>
    <row r="119" spans="1:25" ht="49.5" customHeight="1">
      <c r="A119" s="178">
        <v>3</v>
      </c>
      <c r="B119" s="22"/>
      <c r="C119" s="22" t="s">
        <v>688</v>
      </c>
      <c r="D119" s="42">
        <v>0.37</v>
      </c>
      <c r="E119" s="42">
        <v>0.37</v>
      </c>
      <c r="F119" s="42">
        <f>E119*'рабочая не печать '!$D$63</f>
        <v>78.2072388318707</v>
      </c>
      <c r="G119" s="22"/>
      <c r="H119" s="22">
        <v>1870</v>
      </c>
      <c r="I119" s="39">
        <f t="shared" si="20"/>
        <v>1870</v>
      </c>
      <c r="J119" s="402">
        <v>78.21</v>
      </c>
      <c r="K119" s="407" t="e">
        <f t="shared" si="25"/>
        <v>#REF!</v>
      </c>
      <c r="L119" s="229" t="s">
        <v>553</v>
      </c>
      <c r="M119" s="179" t="e">
        <f>0.375*(2.34/3.43)*#REF!</f>
        <v>#REF!</v>
      </c>
      <c r="N119" s="169" t="e">
        <f t="shared" si="26"/>
        <v>#REF!</v>
      </c>
      <c r="O119" s="376">
        <f>'рабочая не печать '!$K$63</f>
        <v>2.2303703703703697</v>
      </c>
      <c r="P119" s="42"/>
      <c r="Q119" s="22">
        <f>'рабочая не печать '!$M$61</f>
        <v>51.25925925925926</v>
      </c>
      <c r="R119" s="385">
        <f>O119*'рабочая не печать '!$N$63</f>
        <v>209.48148148148147</v>
      </c>
      <c r="V119" s="38">
        <f t="shared" si="27"/>
        <v>1.0069253999999999</v>
      </c>
      <c r="W119" s="376">
        <v>0</v>
      </c>
      <c r="X119" s="42">
        <v>0</v>
      </c>
      <c r="Y119" s="393">
        <v>0</v>
      </c>
    </row>
    <row r="120" spans="1:25" ht="49.5" customHeight="1">
      <c r="A120" s="823">
        <v>4</v>
      </c>
      <c r="B120" s="22"/>
      <c r="C120" s="22" t="s">
        <v>757</v>
      </c>
      <c r="D120" s="42">
        <v>0.07</v>
      </c>
      <c r="E120" s="42">
        <v>0.07</v>
      </c>
      <c r="F120" s="42">
        <f>E120*'рабочая не печать '!$D$63</f>
        <v>14.795964103326892</v>
      </c>
      <c r="G120" s="22"/>
      <c r="H120" s="22">
        <v>849</v>
      </c>
      <c r="I120" s="39">
        <f t="shared" si="20"/>
        <v>849</v>
      </c>
      <c r="J120" s="402">
        <v>14.8</v>
      </c>
      <c r="K120" s="407" t="e">
        <f t="shared" si="25"/>
        <v>#REF!</v>
      </c>
      <c r="L120" s="229" t="s">
        <v>553</v>
      </c>
      <c r="M120" s="179" t="e">
        <f>0.375*(2.34/3.43)*#REF!</f>
        <v>#REF!</v>
      </c>
      <c r="N120" s="169" t="e">
        <f t="shared" si="26"/>
        <v>#REF!</v>
      </c>
      <c r="O120" s="376">
        <f>'рабочая не печать '!$K$63</f>
        <v>2.2303703703703697</v>
      </c>
      <c r="P120" s="42"/>
      <c r="Q120" s="22">
        <f>'рабочая не печать '!$M$61</f>
        <v>51.25925925925926</v>
      </c>
      <c r="R120" s="385">
        <f>O120*'рабочая не печать '!$N$63</f>
        <v>209.48148148148147</v>
      </c>
      <c r="V120" s="38">
        <f t="shared" si="27"/>
        <v>0.1904994</v>
      </c>
      <c r="W120" s="376">
        <v>0</v>
      </c>
      <c r="X120" s="42">
        <v>0</v>
      </c>
      <c r="Y120" s="393">
        <v>0</v>
      </c>
    </row>
    <row r="121" spans="1:25" ht="49.5" customHeight="1" thickBot="1">
      <c r="A121" s="826"/>
      <c r="B121" s="47"/>
      <c r="C121" s="47" t="s">
        <v>757</v>
      </c>
      <c r="D121" s="49">
        <v>0.03</v>
      </c>
      <c r="E121" s="49">
        <v>0.03</v>
      </c>
      <c r="F121" s="49">
        <f>E121*'рабочая не печать '!$D$63</f>
        <v>6.341127472854381</v>
      </c>
      <c r="G121" s="47"/>
      <c r="H121" s="47">
        <v>160</v>
      </c>
      <c r="I121" s="160">
        <f t="shared" si="20"/>
        <v>160</v>
      </c>
      <c r="J121" s="403">
        <v>6.34</v>
      </c>
      <c r="K121" s="407" t="e">
        <f t="shared" si="25"/>
        <v>#REF!</v>
      </c>
      <c r="L121" s="232" t="s">
        <v>553</v>
      </c>
      <c r="M121" s="179" t="e">
        <f>0.375*(2.34/3.43)*#REF!</f>
        <v>#REF!</v>
      </c>
      <c r="N121" s="179" t="e">
        <f t="shared" si="26"/>
        <v>#REF!</v>
      </c>
      <c r="O121" s="377">
        <f>'рабочая не печать '!$K$63</f>
        <v>2.2303703703703697</v>
      </c>
      <c r="P121" s="49"/>
      <c r="Q121" s="47">
        <f>'рабочая не печать '!$M$61</f>
        <v>51.25925925925926</v>
      </c>
      <c r="R121" s="386">
        <f>O121*'рабочая не печать '!$N$63</f>
        <v>209.48148148148147</v>
      </c>
      <c r="V121" s="162">
        <f t="shared" si="27"/>
        <v>0.0816426</v>
      </c>
      <c r="W121" s="377">
        <v>0</v>
      </c>
      <c r="X121" s="49">
        <v>0</v>
      </c>
      <c r="Y121" s="394">
        <v>0</v>
      </c>
    </row>
    <row r="122" spans="1:25" s="231" customFormat="1" ht="64.5" customHeight="1" thickBot="1">
      <c r="A122" s="198"/>
      <c r="B122" s="200" t="s">
        <v>755</v>
      </c>
      <c r="C122" s="200">
        <f>A120</f>
        <v>4</v>
      </c>
      <c r="D122" s="199">
        <f>SUM(D116:D121)</f>
        <v>4.33</v>
      </c>
      <c r="E122" s="199">
        <f>SUM(E116:E121)</f>
        <v>4.33</v>
      </c>
      <c r="F122" s="199">
        <f>SUM(F116:F121)</f>
        <v>253.74705934850516</v>
      </c>
      <c r="G122" s="200">
        <f>SUM(G116:G121)</f>
        <v>40030</v>
      </c>
      <c r="H122" s="200">
        <f>SUM(H116:H121)</f>
        <v>4943</v>
      </c>
      <c r="I122" s="200">
        <f t="shared" si="20"/>
        <v>44973</v>
      </c>
      <c r="J122" s="404">
        <f>SUM(J116:J121)</f>
        <v>253.76000000000002</v>
      </c>
      <c r="K122" s="406" t="e">
        <f>SUM(K116:K121)</f>
        <v>#REF!</v>
      </c>
      <c r="L122" s="220"/>
      <c r="M122" s="199" t="e">
        <f>K122/I122</f>
        <v>#REF!</v>
      </c>
      <c r="N122" s="175" t="e">
        <f>SUM(N116:N121)</f>
        <v>#REF!</v>
      </c>
      <c r="O122" s="378">
        <f>SUM(O116:O121)</f>
        <v>14.451851851851849</v>
      </c>
      <c r="P122" s="199">
        <f>SUM(P116:P121)</f>
        <v>0</v>
      </c>
      <c r="Q122" s="200">
        <f>'рабочая не печать '!$M$61</f>
        <v>51.25925925925926</v>
      </c>
      <c r="R122" s="387">
        <f>SUM(R116:R121)</f>
        <v>1357.35094775945</v>
      </c>
      <c r="V122" s="199">
        <f t="shared" si="27"/>
        <v>11.7837486</v>
      </c>
      <c r="W122" s="378">
        <f>SUM(W116:W121)</f>
        <v>0</v>
      </c>
      <c r="X122" s="199">
        <f>SUM(X116:X121)</f>
        <v>0</v>
      </c>
      <c r="Y122" s="395">
        <f>SUM(Y116:Y121)</f>
        <v>0</v>
      </c>
    </row>
    <row r="123" spans="1:25" s="231" customFormat="1" ht="49.5" customHeight="1">
      <c r="A123" s="221"/>
      <c r="B123" s="151" t="s">
        <v>759</v>
      </c>
      <c r="C123" s="223"/>
      <c r="D123" s="222"/>
      <c r="E123" s="222"/>
      <c r="F123" s="222"/>
      <c r="G123" s="223"/>
      <c r="H123" s="223"/>
      <c r="I123" s="223"/>
      <c r="J123" s="409"/>
      <c r="K123" s="410"/>
      <c r="L123" s="151"/>
      <c r="M123" s="197"/>
      <c r="N123" s="197"/>
      <c r="O123" s="382"/>
      <c r="P123" s="222"/>
      <c r="Q123" s="223"/>
      <c r="R123" s="389"/>
      <c r="V123" s="222"/>
      <c r="W123" s="382"/>
      <c r="X123" s="222"/>
      <c r="Y123" s="398"/>
    </row>
    <row r="124" spans="1:25" ht="49.5" customHeight="1">
      <c r="A124" s="178">
        <v>1</v>
      </c>
      <c r="B124" s="247"/>
      <c r="C124" s="22" t="s">
        <v>760</v>
      </c>
      <c r="D124" s="42">
        <v>0.06</v>
      </c>
      <c r="E124" s="42">
        <v>0.06</v>
      </c>
      <c r="F124" s="42">
        <f>E124*'рабочая не печать '!$D$63</f>
        <v>12.682254945708761</v>
      </c>
      <c r="G124" s="22">
        <v>1356</v>
      </c>
      <c r="H124" s="22"/>
      <c r="I124" s="39">
        <f t="shared" si="20"/>
        <v>1356</v>
      </c>
      <c r="J124" s="402">
        <v>12.68</v>
      </c>
      <c r="K124" s="407" t="e">
        <f aca="true" t="shared" si="28" ref="K124:K130">SUM(M124*I124)</f>
        <v>#REF!</v>
      </c>
      <c r="L124" s="229" t="s">
        <v>553</v>
      </c>
      <c r="M124" s="179" t="e">
        <f>0.375*(2.34/3.43)*#REF!</f>
        <v>#REF!</v>
      </c>
      <c r="N124" s="169" t="e">
        <f aca="true" t="shared" si="29" ref="N124:N130">SUM(K124*0.05)</f>
        <v>#REF!</v>
      </c>
      <c r="O124" s="376">
        <f>'рабочая не печать '!$K$63</f>
        <v>2.2303703703703697</v>
      </c>
      <c r="P124" s="42"/>
      <c r="Q124" s="22">
        <f>'рабочая не печать '!$M$61</f>
        <v>51.25925925925926</v>
      </c>
      <c r="R124" s="385">
        <f>O124*'рабочая не печать '!$N$63</f>
        <v>209.48148148148147</v>
      </c>
      <c r="V124" s="38">
        <f>SUM(D124*2.34*1.163)</f>
        <v>0.1632852</v>
      </c>
      <c r="W124" s="376">
        <v>0</v>
      </c>
      <c r="X124" s="42">
        <v>0</v>
      </c>
      <c r="Y124" s="393">
        <v>0</v>
      </c>
    </row>
    <row r="125" spans="1:25" ht="49.5" customHeight="1">
      <c r="A125" s="178"/>
      <c r="B125" s="22"/>
      <c r="C125" s="22" t="s">
        <v>777</v>
      </c>
      <c r="D125" s="42">
        <v>0.06</v>
      </c>
      <c r="E125" s="42">
        <v>0.06</v>
      </c>
      <c r="F125" s="42">
        <v>0</v>
      </c>
      <c r="G125" s="22"/>
      <c r="H125" s="22">
        <v>1324</v>
      </c>
      <c r="I125" s="39">
        <f t="shared" si="20"/>
        <v>1324</v>
      </c>
      <c r="J125" s="402">
        <v>0</v>
      </c>
      <c r="K125" s="407" t="e">
        <f t="shared" si="28"/>
        <v>#REF!</v>
      </c>
      <c r="L125" s="229" t="s">
        <v>553</v>
      </c>
      <c r="M125" s="179" t="e">
        <f>0.375*(2.34/3.43)*#REF!</f>
        <v>#REF!</v>
      </c>
      <c r="N125" s="169" t="e">
        <f t="shared" si="29"/>
        <v>#REF!</v>
      </c>
      <c r="O125" s="376">
        <f>'рабочая не печать '!$K$63</f>
        <v>2.2303703703703697</v>
      </c>
      <c r="P125" s="42"/>
      <c r="Q125" s="22">
        <f>Q118</f>
        <v>93</v>
      </c>
      <c r="R125" s="385">
        <f>O125*'рабочая не печать '!$N$63</f>
        <v>209.48148148148147</v>
      </c>
      <c r="V125" s="38">
        <f aca="true" t="shared" si="30" ref="V125:V131">SUM(D125*2.34*1.163)</f>
        <v>0.1632852</v>
      </c>
      <c r="W125" s="376">
        <v>0</v>
      </c>
      <c r="X125" s="42">
        <v>0</v>
      </c>
      <c r="Y125" s="393">
        <v>0</v>
      </c>
    </row>
    <row r="126" spans="1:25" ht="49.5" customHeight="1">
      <c r="A126" s="178">
        <v>2</v>
      </c>
      <c r="B126" s="22"/>
      <c r="C126" s="22" t="s">
        <v>689</v>
      </c>
      <c r="D126" s="42">
        <v>0.12</v>
      </c>
      <c r="E126" s="42">
        <v>0.12</v>
      </c>
      <c r="F126" s="42">
        <v>15</v>
      </c>
      <c r="G126" s="22"/>
      <c r="H126" s="22">
        <v>2815</v>
      </c>
      <c r="I126" s="39">
        <f>SUM(G126+H126)</f>
        <v>2815</v>
      </c>
      <c r="J126" s="402">
        <v>15</v>
      </c>
      <c r="K126" s="407" t="e">
        <f t="shared" si="28"/>
        <v>#REF!</v>
      </c>
      <c r="L126" s="229" t="s">
        <v>553</v>
      </c>
      <c r="M126" s="179" t="e">
        <f>0.375*(2.34/3.43)*#REF!</f>
        <v>#REF!</v>
      </c>
      <c r="N126" s="169" t="e">
        <f t="shared" si="29"/>
        <v>#REF!</v>
      </c>
      <c r="O126" s="376">
        <f>'рабочая не печать '!$K$63</f>
        <v>2.2303703703703697</v>
      </c>
      <c r="P126" s="42"/>
      <c r="Q126" s="22">
        <f>'рабочая не печать '!$M$61</f>
        <v>51.25925925925926</v>
      </c>
      <c r="R126" s="385">
        <v>20</v>
      </c>
      <c r="V126" s="38">
        <f t="shared" si="30"/>
        <v>0.3265704</v>
      </c>
      <c r="W126" s="376">
        <v>0</v>
      </c>
      <c r="X126" s="42">
        <v>0</v>
      </c>
      <c r="Y126" s="393">
        <v>0</v>
      </c>
    </row>
    <row r="127" spans="1:25" ht="49.5" customHeight="1">
      <c r="A127" s="178">
        <v>3</v>
      </c>
      <c r="B127" s="22"/>
      <c r="C127" s="22" t="s">
        <v>689</v>
      </c>
      <c r="D127" s="42">
        <v>0.07</v>
      </c>
      <c r="E127" s="42">
        <v>0.07</v>
      </c>
      <c r="F127" s="42">
        <v>15</v>
      </c>
      <c r="G127" s="22"/>
      <c r="H127" s="22">
        <v>1780</v>
      </c>
      <c r="I127" s="39">
        <f>SUM(G127+H127)</f>
        <v>1780</v>
      </c>
      <c r="J127" s="402">
        <v>15</v>
      </c>
      <c r="K127" s="407" t="e">
        <f t="shared" si="28"/>
        <v>#REF!</v>
      </c>
      <c r="L127" s="229" t="s">
        <v>553</v>
      </c>
      <c r="M127" s="179" t="e">
        <f>0.375*(2.34/3.43)*#REF!</f>
        <v>#REF!</v>
      </c>
      <c r="N127" s="169" t="e">
        <f t="shared" si="29"/>
        <v>#REF!</v>
      </c>
      <c r="O127" s="376">
        <f>'рабочая не печать '!$K$63</f>
        <v>2.2303703703703697</v>
      </c>
      <c r="P127" s="42"/>
      <c r="Q127" s="22">
        <f>'рабочая не печать '!$M$61</f>
        <v>51.25925925925926</v>
      </c>
      <c r="R127" s="385">
        <v>20</v>
      </c>
      <c r="V127" s="38">
        <f t="shared" si="30"/>
        <v>0.1904994</v>
      </c>
      <c r="W127" s="376">
        <v>0</v>
      </c>
      <c r="X127" s="42">
        <v>0</v>
      </c>
      <c r="Y127" s="393">
        <v>0</v>
      </c>
    </row>
    <row r="128" spans="1:25" ht="49.5" customHeight="1">
      <c r="A128" s="178">
        <v>4</v>
      </c>
      <c r="B128" s="22"/>
      <c r="C128" s="22" t="s">
        <v>689</v>
      </c>
      <c r="D128" s="42">
        <v>0.02</v>
      </c>
      <c r="E128" s="42">
        <v>0.02</v>
      </c>
      <c r="F128" s="42">
        <f>E128*'рабочая не печать '!$D$63</f>
        <v>4.227418315236254</v>
      </c>
      <c r="G128" s="22"/>
      <c r="H128" s="22">
        <v>441</v>
      </c>
      <c r="I128" s="39">
        <f>SUM(G128+H128)</f>
        <v>441</v>
      </c>
      <c r="J128" s="402">
        <v>4.23</v>
      </c>
      <c r="K128" s="407" t="e">
        <f t="shared" si="28"/>
        <v>#REF!</v>
      </c>
      <c r="L128" s="229" t="s">
        <v>553</v>
      </c>
      <c r="M128" s="179" t="e">
        <f>0.375*(2.34/3.43)*#REF!</f>
        <v>#REF!</v>
      </c>
      <c r="N128" s="169" t="e">
        <f t="shared" si="29"/>
        <v>#REF!</v>
      </c>
      <c r="O128" s="376">
        <f>'рабочая не печать '!$K$63</f>
        <v>2.2303703703703697</v>
      </c>
      <c r="P128" s="42"/>
      <c r="Q128" s="22">
        <f>Q126</f>
        <v>51.25925925925926</v>
      </c>
      <c r="R128" s="385">
        <f>O128*'рабочая не печать '!$N$63</f>
        <v>209.48148148148147</v>
      </c>
      <c r="V128" s="38">
        <f t="shared" si="30"/>
        <v>0.0544284</v>
      </c>
      <c r="W128" s="376">
        <v>0</v>
      </c>
      <c r="X128" s="42">
        <v>0</v>
      </c>
      <c r="Y128" s="393">
        <v>0</v>
      </c>
    </row>
    <row r="129" spans="1:25" ht="49.5" customHeight="1">
      <c r="A129" s="178"/>
      <c r="B129" s="22"/>
      <c r="C129" s="22" t="s">
        <v>777</v>
      </c>
      <c r="D129" s="42">
        <v>0.04</v>
      </c>
      <c r="E129" s="42">
        <v>0.04</v>
      </c>
      <c r="F129" s="42">
        <v>0</v>
      </c>
      <c r="G129" s="22"/>
      <c r="H129" s="22">
        <v>830</v>
      </c>
      <c r="I129" s="39">
        <f>SUM(G129+H129)</f>
        <v>830</v>
      </c>
      <c r="J129" s="402">
        <v>0</v>
      </c>
      <c r="K129" s="407" t="e">
        <f t="shared" si="28"/>
        <v>#REF!</v>
      </c>
      <c r="L129" s="229" t="s">
        <v>553</v>
      </c>
      <c r="M129" s="179" t="e">
        <f>0.375*(2.34/3.43)*#REF!</f>
        <v>#REF!</v>
      </c>
      <c r="N129" s="169" t="e">
        <f t="shared" si="29"/>
        <v>#REF!</v>
      </c>
      <c r="O129" s="376">
        <f>'рабочая не печать '!$K$63</f>
        <v>2.2303703703703697</v>
      </c>
      <c r="P129" s="42"/>
      <c r="Q129" s="22">
        <f>'рабочая не печать '!$M$61</f>
        <v>51.25925925925926</v>
      </c>
      <c r="R129" s="385">
        <f>O129*'рабочая не печать '!$N$63</f>
        <v>209.48148148148147</v>
      </c>
      <c r="V129" s="38">
        <f t="shared" si="30"/>
        <v>0.1088568</v>
      </c>
      <c r="W129" s="376">
        <v>0</v>
      </c>
      <c r="X129" s="42">
        <v>0</v>
      </c>
      <c r="Y129" s="393">
        <v>0</v>
      </c>
    </row>
    <row r="130" spans="1:25" ht="49.5" customHeight="1" thickBot="1">
      <c r="A130" s="173"/>
      <c r="B130" s="47"/>
      <c r="C130" s="47" t="s">
        <v>777</v>
      </c>
      <c r="D130" s="49">
        <v>0.006</v>
      </c>
      <c r="E130" s="49">
        <v>0.006</v>
      </c>
      <c r="F130" s="49">
        <v>0</v>
      </c>
      <c r="G130" s="47"/>
      <c r="H130" s="47">
        <v>300</v>
      </c>
      <c r="I130" s="160">
        <f>SUM(G130+H130)</f>
        <v>300</v>
      </c>
      <c r="J130" s="403">
        <v>0</v>
      </c>
      <c r="K130" s="407" t="e">
        <f t="shared" si="28"/>
        <v>#REF!</v>
      </c>
      <c r="L130" s="232" t="s">
        <v>553</v>
      </c>
      <c r="M130" s="179" t="e">
        <f>0.375*(2.34/3.43)*#REF!</f>
        <v>#REF!</v>
      </c>
      <c r="N130" s="179" t="e">
        <f t="shared" si="29"/>
        <v>#REF!</v>
      </c>
      <c r="O130" s="377">
        <f>'рабочая не печать '!$K$63</f>
        <v>2.2303703703703697</v>
      </c>
      <c r="P130" s="49"/>
      <c r="Q130" s="47">
        <f>'рабочая не печать '!$M$61</f>
        <v>51.25925925925926</v>
      </c>
      <c r="R130" s="386">
        <f>O130*'рабочая не печать '!$N$63</f>
        <v>209.48148148148147</v>
      </c>
      <c r="V130" s="162">
        <f t="shared" si="30"/>
        <v>0.01632852</v>
      </c>
      <c r="W130" s="377">
        <v>0</v>
      </c>
      <c r="X130" s="49">
        <v>0</v>
      </c>
      <c r="Y130" s="394">
        <v>0</v>
      </c>
    </row>
    <row r="131" spans="1:25" s="231" customFormat="1" ht="49.5" customHeight="1" thickBot="1">
      <c r="A131" s="198"/>
      <c r="B131" s="200" t="s">
        <v>559</v>
      </c>
      <c r="C131" s="200">
        <f>A128</f>
        <v>4</v>
      </c>
      <c r="D131" s="199">
        <f>SUM(D124:D130)</f>
        <v>0.376</v>
      </c>
      <c r="E131" s="199">
        <f aca="true" t="shared" si="31" ref="E131:Y131">SUM(E124:E130)</f>
        <v>0.376</v>
      </c>
      <c r="F131" s="199">
        <f t="shared" si="31"/>
        <v>46.90967326094502</v>
      </c>
      <c r="G131" s="200">
        <f t="shared" si="31"/>
        <v>1356</v>
      </c>
      <c r="H131" s="200">
        <f t="shared" si="31"/>
        <v>7490</v>
      </c>
      <c r="I131" s="200">
        <f t="shared" si="31"/>
        <v>8846</v>
      </c>
      <c r="J131" s="404">
        <f t="shared" si="31"/>
        <v>46.91</v>
      </c>
      <c r="K131" s="404" t="e">
        <f>SUM(K124:K130)</f>
        <v>#REF!</v>
      </c>
      <c r="L131" s="200"/>
      <c r="M131" s="199" t="e">
        <f>K131/I131</f>
        <v>#REF!</v>
      </c>
      <c r="N131" s="199" t="e">
        <f>SUM(N124:N130)</f>
        <v>#REF!</v>
      </c>
      <c r="O131" s="378">
        <f t="shared" si="31"/>
        <v>15.612592592592588</v>
      </c>
      <c r="P131" s="199">
        <f t="shared" si="31"/>
        <v>0</v>
      </c>
      <c r="Q131" s="200">
        <f>SUM(Q124:Q130)/7</f>
        <v>57.22222222222222</v>
      </c>
      <c r="R131" s="387">
        <f t="shared" si="31"/>
        <v>1087.4074074074074</v>
      </c>
      <c r="V131" s="172">
        <f t="shared" si="30"/>
        <v>1.02325392</v>
      </c>
      <c r="W131" s="378">
        <f t="shared" si="31"/>
        <v>0</v>
      </c>
      <c r="X131" s="199">
        <f t="shared" si="31"/>
        <v>0</v>
      </c>
      <c r="Y131" s="395">
        <f t="shared" si="31"/>
        <v>0</v>
      </c>
    </row>
    <row r="132" spans="1:25" s="231" customFormat="1" ht="49.5" customHeight="1">
      <c r="A132" s="221"/>
      <c r="B132" s="223" t="s">
        <v>761</v>
      </c>
      <c r="C132" s="223"/>
      <c r="D132" s="222"/>
      <c r="E132" s="222"/>
      <c r="F132" s="222"/>
      <c r="G132" s="223"/>
      <c r="H132" s="223"/>
      <c r="I132" s="223"/>
      <c r="J132" s="409"/>
      <c r="K132" s="410"/>
      <c r="L132" s="151"/>
      <c r="M132" s="197"/>
      <c r="N132" s="197"/>
      <c r="O132" s="382"/>
      <c r="P132" s="222"/>
      <c r="Q132" s="223"/>
      <c r="R132" s="389"/>
      <c r="V132" s="222"/>
      <c r="W132" s="382"/>
      <c r="X132" s="222"/>
      <c r="Y132" s="398"/>
    </row>
    <row r="133" spans="1:25" ht="49.5" customHeight="1">
      <c r="A133" s="178"/>
      <c r="B133" s="247"/>
      <c r="C133" s="22" t="s">
        <v>777</v>
      </c>
      <c r="D133" s="42">
        <v>0.13</v>
      </c>
      <c r="E133" s="42">
        <v>0.13</v>
      </c>
      <c r="F133" s="42"/>
      <c r="G133" s="22">
        <v>1297</v>
      </c>
      <c r="H133" s="22">
        <v>529</v>
      </c>
      <c r="I133" s="39">
        <f t="shared" si="20"/>
        <v>1826</v>
      </c>
      <c r="J133" s="402"/>
      <c r="K133" s="407" t="e">
        <f aca="true" t="shared" si="32" ref="K133:K138">SUM(M133*I133)</f>
        <v>#REF!</v>
      </c>
      <c r="L133" s="229" t="s">
        <v>553</v>
      </c>
      <c r="M133" s="179" t="e">
        <f>0.375*(2.34/3.43)*#REF!</f>
        <v>#REF!</v>
      </c>
      <c r="N133" s="169" t="e">
        <f aca="true" t="shared" si="33" ref="N133:N138">SUM(K133*0.05)</f>
        <v>#REF!</v>
      </c>
      <c r="O133" s="376">
        <f>'рабочая не печать '!$K$63</f>
        <v>2.2303703703703697</v>
      </c>
      <c r="P133" s="42"/>
      <c r="Q133" s="22">
        <f>'рабочая не печать '!$M$61</f>
        <v>51.25925925925926</v>
      </c>
      <c r="R133" s="385">
        <f>O133*'рабочая не печать '!$N$63</f>
        <v>209.48148148148147</v>
      </c>
      <c r="V133" s="38">
        <f>SUM(E133*2.34*1.163)</f>
        <v>0.35378459999999995</v>
      </c>
      <c r="W133" s="376">
        <v>0</v>
      </c>
      <c r="X133" s="42">
        <v>0</v>
      </c>
      <c r="Y133" s="393">
        <v>0</v>
      </c>
    </row>
    <row r="134" spans="1:25" ht="49.5" customHeight="1">
      <c r="A134" s="178">
        <v>1</v>
      </c>
      <c r="B134" s="22"/>
      <c r="C134" s="22" t="s">
        <v>689</v>
      </c>
      <c r="D134" s="42">
        <v>0.07</v>
      </c>
      <c r="E134" s="42">
        <v>0.07</v>
      </c>
      <c r="F134" s="42">
        <v>15</v>
      </c>
      <c r="G134" s="22"/>
      <c r="H134" s="22">
        <v>1759</v>
      </c>
      <c r="I134" s="39">
        <f t="shared" si="20"/>
        <v>1759</v>
      </c>
      <c r="J134" s="402">
        <v>15</v>
      </c>
      <c r="K134" s="407" t="e">
        <f t="shared" si="32"/>
        <v>#REF!</v>
      </c>
      <c r="L134" s="229" t="s">
        <v>553</v>
      </c>
      <c r="M134" s="179" t="e">
        <f>0.375*(2.34/3.43)*#REF!</f>
        <v>#REF!</v>
      </c>
      <c r="N134" s="169" t="e">
        <f t="shared" si="33"/>
        <v>#REF!</v>
      </c>
      <c r="O134" s="376">
        <f>'рабочая не печать '!$K$63</f>
        <v>2.2303703703703697</v>
      </c>
      <c r="P134" s="42">
        <v>0.1</v>
      </c>
      <c r="Q134" s="22">
        <f>Q125</f>
        <v>93</v>
      </c>
      <c r="R134" s="385">
        <v>20</v>
      </c>
      <c r="V134" s="38">
        <f aca="true" t="shared" si="34" ref="V134:V139">SUM(E134*2.34*1.163)</f>
        <v>0.1904994</v>
      </c>
      <c r="W134" s="376">
        <v>0</v>
      </c>
      <c r="X134" s="42">
        <v>0</v>
      </c>
      <c r="Y134" s="393">
        <v>0</v>
      </c>
    </row>
    <row r="135" spans="1:25" ht="49.5" customHeight="1">
      <c r="A135" s="178">
        <v>2</v>
      </c>
      <c r="B135" s="22"/>
      <c r="C135" s="22" t="s">
        <v>689</v>
      </c>
      <c r="D135" s="42">
        <v>0.04</v>
      </c>
      <c r="E135" s="42">
        <v>0.04</v>
      </c>
      <c r="F135" s="42">
        <v>15</v>
      </c>
      <c r="G135" s="22"/>
      <c r="H135" s="22">
        <v>914</v>
      </c>
      <c r="I135" s="39">
        <f t="shared" si="20"/>
        <v>914</v>
      </c>
      <c r="J135" s="402">
        <v>15</v>
      </c>
      <c r="K135" s="407" t="e">
        <f t="shared" si="32"/>
        <v>#REF!</v>
      </c>
      <c r="L135" s="229" t="s">
        <v>553</v>
      </c>
      <c r="M135" s="179" t="e">
        <f>0.375*(2.34/3.43)*#REF!</f>
        <v>#REF!</v>
      </c>
      <c r="N135" s="169" t="e">
        <f t="shared" si="33"/>
        <v>#REF!</v>
      </c>
      <c r="O135" s="376">
        <f>'рабочая не печать '!$K$63</f>
        <v>2.2303703703703697</v>
      </c>
      <c r="P135" s="42">
        <v>0.1</v>
      </c>
      <c r="Q135" s="22">
        <f>'рабочая не печать '!$M$61</f>
        <v>51.25925925925926</v>
      </c>
      <c r="R135" s="385">
        <v>20</v>
      </c>
      <c r="V135" s="38">
        <f t="shared" si="34"/>
        <v>0.1088568</v>
      </c>
      <c r="W135" s="376">
        <v>0</v>
      </c>
      <c r="X135" s="42">
        <v>0</v>
      </c>
      <c r="Y135" s="393">
        <v>0</v>
      </c>
    </row>
    <row r="136" spans="1:25" ht="49.5" customHeight="1">
      <c r="A136" s="823">
        <v>3</v>
      </c>
      <c r="B136" s="22"/>
      <c r="C136" s="22" t="s">
        <v>106</v>
      </c>
      <c r="D136" s="774">
        <f>0.13+E137+E138</f>
        <v>0.2</v>
      </c>
      <c r="E136" s="42">
        <v>0.13</v>
      </c>
      <c r="F136" s="774">
        <f>D136*'рабочая не печать '!$D$63</f>
        <v>42.274183152362546</v>
      </c>
      <c r="G136" s="22">
        <v>675</v>
      </c>
      <c r="H136" s="22"/>
      <c r="I136" s="39">
        <f t="shared" si="20"/>
        <v>675</v>
      </c>
      <c r="J136" s="814">
        <v>42.27</v>
      </c>
      <c r="K136" s="407" t="e">
        <f t="shared" si="32"/>
        <v>#REF!</v>
      </c>
      <c r="L136" s="229" t="s">
        <v>553</v>
      </c>
      <c r="M136" s="179" t="e">
        <f>0.375*(2.34/3.43)*#REF!</f>
        <v>#REF!</v>
      </c>
      <c r="N136" s="169" t="e">
        <f t="shared" si="33"/>
        <v>#REF!</v>
      </c>
      <c r="O136" s="376">
        <f>'рабочая не печать '!$K$63</f>
        <v>2.2303703703703697</v>
      </c>
      <c r="P136" s="42"/>
      <c r="Q136" s="22">
        <f>'рабочая не печать '!$M$61</f>
        <v>51.25925925925926</v>
      </c>
      <c r="R136" s="385">
        <f>O136*'рабочая не печать '!$N$63</f>
        <v>209.48148148148147</v>
      </c>
      <c r="V136" s="38">
        <f t="shared" si="34"/>
        <v>0.35378459999999995</v>
      </c>
      <c r="W136" s="376">
        <v>0</v>
      </c>
      <c r="X136" s="42">
        <v>0</v>
      </c>
      <c r="Y136" s="393">
        <v>0</v>
      </c>
    </row>
    <row r="137" spans="1:25" ht="64.5" customHeight="1">
      <c r="A137" s="841"/>
      <c r="B137" s="22"/>
      <c r="C137" s="22" t="s">
        <v>106</v>
      </c>
      <c r="D137" s="808"/>
      <c r="E137" s="42">
        <v>0.03</v>
      </c>
      <c r="F137" s="808"/>
      <c r="G137" s="22">
        <v>622</v>
      </c>
      <c r="H137" s="22"/>
      <c r="I137" s="39">
        <f t="shared" si="20"/>
        <v>622</v>
      </c>
      <c r="J137" s="816"/>
      <c r="K137" s="407" t="e">
        <f t="shared" si="32"/>
        <v>#REF!</v>
      </c>
      <c r="L137" s="229" t="s">
        <v>553</v>
      </c>
      <c r="M137" s="179" t="e">
        <f>0.375*(2.34/3.43)*#REF!</f>
        <v>#REF!</v>
      </c>
      <c r="N137" s="169" t="e">
        <f t="shared" si="33"/>
        <v>#REF!</v>
      </c>
      <c r="O137" s="376">
        <f>'рабочая не печать '!$K$63</f>
        <v>2.2303703703703697</v>
      </c>
      <c r="P137" s="42"/>
      <c r="Q137" s="22">
        <f>'рабочая не печать '!$M$61</f>
        <v>51.25925925925926</v>
      </c>
      <c r="R137" s="385">
        <f>O137*'рабочая не печать '!$N$63</f>
        <v>209.48148148148147</v>
      </c>
      <c r="V137" s="38">
        <f t="shared" si="34"/>
        <v>0.0816426</v>
      </c>
      <c r="W137" s="376">
        <v>0</v>
      </c>
      <c r="X137" s="42">
        <v>0</v>
      </c>
      <c r="Y137" s="393">
        <v>0</v>
      </c>
    </row>
    <row r="138" spans="1:25" ht="67.5" customHeight="1" thickBot="1">
      <c r="A138" s="841"/>
      <c r="B138" s="47"/>
      <c r="C138" s="47" t="s">
        <v>106</v>
      </c>
      <c r="D138" s="808"/>
      <c r="E138" s="49">
        <v>0.04</v>
      </c>
      <c r="F138" s="808"/>
      <c r="G138" s="47"/>
      <c r="H138" s="47">
        <v>2666</v>
      </c>
      <c r="I138" s="39">
        <f t="shared" si="20"/>
        <v>2666</v>
      </c>
      <c r="J138" s="817"/>
      <c r="K138" s="407" t="e">
        <f t="shared" si="32"/>
        <v>#REF!</v>
      </c>
      <c r="L138" s="232" t="s">
        <v>553</v>
      </c>
      <c r="M138" s="179" t="e">
        <f>0.375*(2.34/3.43)*#REF!</f>
        <v>#REF!</v>
      </c>
      <c r="N138" s="179" t="e">
        <f t="shared" si="33"/>
        <v>#REF!</v>
      </c>
      <c r="O138" s="377">
        <f>'рабочая не печать '!$K$63</f>
        <v>2.2303703703703697</v>
      </c>
      <c r="P138" s="49"/>
      <c r="Q138" s="47">
        <f>'рабочая не печать '!$M$61</f>
        <v>51.25925925925926</v>
      </c>
      <c r="R138" s="386">
        <f>O138*'рабочая не печать '!$N$63</f>
        <v>209.48148148148147</v>
      </c>
      <c r="V138" s="162">
        <f t="shared" si="34"/>
        <v>0.1088568</v>
      </c>
      <c r="W138" s="377">
        <v>0</v>
      </c>
      <c r="X138" s="49">
        <v>0</v>
      </c>
      <c r="Y138" s="394">
        <v>0</v>
      </c>
    </row>
    <row r="139" spans="1:25" s="231" customFormat="1" ht="49.5" customHeight="1" thickBot="1">
      <c r="A139" s="198"/>
      <c r="B139" s="200" t="s">
        <v>68</v>
      </c>
      <c r="C139" s="200">
        <f>A136</f>
        <v>3</v>
      </c>
      <c r="D139" s="199">
        <f>SUM(D133:D138)</f>
        <v>0.44000000000000006</v>
      </c>
      <c r="E139" s="199">
        <f>SUM(E124:E138)</f>
        <v>1.192</v>
      </c>
      <c r="F139" s="199">
        <f>SUM(F124:F138)</f>
        <v>166.09352967425258</v>
      </c>
      <c r="G139" s="200">
        <f>SUM(G133:G138)</f>
        <v>2594</v>
      </c>
      <c r="H139" s="200">
        <f>SUM(H133:H138)</f>
        <v>5868</v>
      </c>
      <c r="I139" s="200">
        <f>SUM(I133:I138)</f>
        <v>8462</v>
      </c>
      <c r="J139" s="404">
        <f>SUM(J124:J138)</f>
        <v>166.09</v>
      </c>
      <c r="K139" s="406" t="e">
        <f>SUM(K133:K138)</f>
        <v>#REF!</v>
      </c>
      <c r="L139" s="220"/>
      <c r="M139" s="199" t="e">
        <f>K139/I139</f>
        <v>#REF!</v>
      </c>
      <c r="N139" s="175" t="e">
        <f>SUM(N124:N138)</f>
        <v>#REF!</v>
      </c>
      <c r="O139" s="378">
        <f>SUM(O124:O138)</f>
        <v>44.60740740740738</v>
      </c>
      <c r="P139" s="199">
        <f>SUM(P124:P138)</f>
        <v>0.2</v>
      </c>
      <c r="Q139" s="200">
        <f>'рабочая не печать '!$M$61</f>
        <v>51.25925925925926</v>
      </c>
      <c r="R139" s="387">
        <f>SUM(R124:R138)</f>
        <v>3052.74074074074</v>
      </c>
      <c r="V139" s="199">
        <f t="shared" si="34"/>
        <v>3.2439326399999997</v>
      </c>
      <c r="W139" s="378">
        <f>SUM(W124:W138)</f>
        <v>0</v>
      </c>
      <c r="X139" s="199">
        <f>SUM(X124:X138)</f>
        <v>0</v>
      </c>
      <c r="Y139" s="395">
        <f>SUM(Y124:Y138)</f>
        <v>0</v>
      </c>
    </row>
    <row r="140" spans="1:25" s="231" customFormat="1" ht="49.5" customHeight="1">
      <c r="A140" s="221"/>
      <c r="B140" s="223" t="s">
        <v>768</v>
      </c>
      <c r="C140" s="223"/>
      <c r="D140" s="222"/>
      <c r="E140" s="222"/>
      <c r="F140" s="222"/>
      <c r="G140" s="223"/>
      <c r="H140" s="223"/>
      <c r="I140" s="223"/>
      <c r="J140" s="409"/>
      <c r="K140" s="410"/>
      <c r="L140" s="151"/>
      <c r="M140" s="197"/>
      <c r="N140" s="197"/>
      <c r="O140" s="382"/>
      <c r="P140" s="222"/>
      <c r="Q140" s="223"/>
      <c r="R140" s="389"/>
      <c r="V140" s="222"/>
      <c r="W140" s="382"/>
      <c r="X140" s="222"/>
      <c r="Y140" s="398"/>
    </row>
    <row r="141" spans="1:25" ht="49.5" customHeight="1">
      <c r="A141" s="178"/>
      <c r="B141" s="247"/>
      <c r="C141" s="22" t="s">
        <v>777</v>
      </c>
      <c r="D141" s="42">
        <v>0.02</v>
      </c>
      <c r="E141" s="42">
        <v>0.02</v>
      </c>
      <c r="F141" s="42"/>
      <c r="G141" s="22">
        <v>699</v>
      </c>
      <c r="H141" s="22"/>
      <c r="I141" s="39">
        <f t="shared" si="20"/>
        <v>699</v>
      </c>
      <c r="J141" s="402"/>
      <c r="K141" s="407" t="e">
        <f aca="true" t="shared" si="35" ref="K141:K150">SUM(M141*I141)</f>
        <v>#REF!</v>
      </c>
      <c r="L141" s="229" t="s">
        <v>553</v>
      </c>
      <c r="M141" s="179" t="e">
        <f>0.375*(2.34/3.43)*#REF!</f>
        <v>#REF!</v>
      </c>
      <c r="N141" s="169" t="e">
        <f aca="true" t="shared" si="36" ref="N141:N150">SUM(K141*0.05)</f>
        <v>#REF!</v>
      </c>
      <c r="O141" s="376">
        <f>'рабочая не печать '!$K$63</f>
        <v>2.2303703703703697</v>
      </c>
      <c r="P141" s="42"/>
      <c r="Q141" s="22">
        <f>'рабочая не печать '!$M$61</f>
        <v>51.25925925925926</v>
      </c>
      <c r="R141" s="385">
        <f>O141*'рабочая не печать '!$N$63</f>
        <v>209.48148148148147</v>
      </c>
      <c r="V141" s="38">
        <f>SUM(E141*2.34*1.163)</f>
        <v>0.0544284</v>
      </c>
      <c r="W141" s="376">
        <v>0</v>
      </c>
      <c r="X141" s="42">
        <v>0</v>
      </c>
      <c r="Y141" s="393">
        <v>0</v>
      </c>
    </row>
    <row r="142" spans="1:25" ht="49.5" customHeight="1">
      <c r="A142" s="178"/>
      <c r="B142" s="22"/>
      <c r="C142" s="22" t="s">
        <v>777</v>
      </c>
      <c r="D142" s="42">
        <v>0.02</v>
      </c>
      <c r="E142" s="42">
        <v>0.02</v>
      </c>
      <c r="F142" s="42"/>
      <c r="G142" s="22">
        <v>699</v>
      </c>
      <c r="H142" s="22"/>
      <c r="I142" s="39">
        <f t="shared" si="20"/>
        <v>699</v>
      </c>
      <c r="J142" s="402"/>
      <c r="K142" s="407" t="e">
        <f t="shared" si="35"/>
        <v>#REF!</v>
      </c>
      <c r="L142" s="229" t="s">
        <v>553</v>
      </c>
      <c r="M142" s="179" t="e">
        <f>0.375*(2.34/3.43)*#REF!</f>
        <v>#REF!</v>
      </c>
      <c r="N142" s="169" t="e">
        <f t="shared" si="36"/>
        <v>#REF!</v>
      </c>
      <c r="O142" s="376">
        <f>'рабочая не печать '!$K$63</f>
        <v>2.2303703703703697</v>
      </c>
      <c r="P142" s="42"/>
      <c r="Q142" s="22">
        <f>'рабочая не печать '!$M$61</f>
        <v>51.25925925925926</v>
      </c>
      <c r="R142" s="385">
        <f>O142*'рабочая не печать '!$N$63</f>
        <v>209.48148148148147</v>
      </c>
      <c r="V142" s="38">
        <f aca="true" t="shared" si="37" ref="V142:V151">SUM(E142*2.34*1.163)</f>
        <v>0.0544284</v>
      </c>
      <c r="W142" s="376">
        <v>0</v>
      </c>
      <c r="X142" s="42">
        <v>0</v>
      </c>
      <c r="Y142" s="393">
        <v>0</v>
      </c>
    </row>
    <row r="143" spans="1:25" ht="49.5" customHeight="1">
      <c r="A143" s="178"/>
      <c r="B143" s="22"/>
      <c r="C143" s="22" t="s">
        <v>777</v>
      </c>
      <c r="D143" s="42">
        <v>0.02</v>
      </c>
      <c r="E143" s="42">
        <v>0.02</v>
      </c>
      <c r="F143" s="42"/>
      <c r="G143" s="22">
        <v>732</v>
      </c>
      <c r="H143" s="22"/>
      <c r="I143" s="39">
        <f t="shared" si="20"/>
        <v>732</v>
      </c>
      <c r="J143" s="402"/>
      <c r="K143" s="407" t="e">
        <f t="shared" si="35"/>
        <v>#REF!</v>
      </c>
      <c r="L143" s="229" t="s">
        <v>553</v>
      </c>
      <c r="M143" s="179" t="e">
        <f>0.375*(2.34/3.43)*#REF!</f>
        <v>#REF!</v>
      </c>
      <c r="N143" s="169" t="e">
        <f t="shared" si="36"/>
        <v>#REF!</v>
      </c>
      <c r="O143" s="376">
        <f>'рабочая не печать '!$K$63</f>
        <v>2.2303703703703697</v>
      </c>
      <c r="P143" s="42"/>
      <c r="Q143" s="22">
        <f>'рабочая не печать '!$M$61</f>
        <v>51.25925925925926</v>
      </c>
      <c r="R143" s="385">
        <f>O143*'рабочая не печать '!$N$63</f>
        <v>209.48148148148147</v>
      </c>
      <c r="V143" s="38">
        <f t="shared" si="37"/>
        <v>0.0544284</v>
      </c>
      <c r="W143" s="376">
        <v>0</v>
      </c>
      <c r="X143" s="42">
        <v>0</v>
      </c>
      <c r="Y143" s="393">
        <v>0</v>
      </c>
    </row>
    <row r="144" spans="1:25" ht="49.5" customHeight="1">
      <c r="A144" s="178"/>
      <c r="B144" s="22"/>
      <c r="C144" s="22" t="s">
        <v>777</v>
      </c>
      <c r="D144" s="42">
        <v>0.02</v>
      </c>
      <c r="E144" s="42">
        <v>0.02</v>
      </c>
      <c r="F144" s="42"/>
      <c r="G144" s="22">
        <v>747</v>
      </c>
      <c r="H144" s="22"/>
      <c r="I144" s="39">
        <f t="shared" si="20"/>
        <v>747</v>
      </c>
      <c r="J144" s="402"/>
      <c r="K144" s="407" t="e">
        <f t="shared" si="35"/>
        <v>#REF!</v>
      </c>
      <c r="L144" s="229" t="s">
        <v>553</v>
      </c>
      <c r="M144" s="179" t="e">
        <f>0.375*(2.34/3.43)*#REF!</f>
        <v>#REF!</v>
      </c>
      <c r="N144" s="169" t="e">
        <f t="shared" si="36"/>
        <v>#REF!</v>
      </c>
      <c r="O144" s="376">
        <f>'рабочая не печать '!$K$63</f>
        <v>2.2303703703703697</v>
      </c>
      <c r="P144" s="42"/>
      <c r="Q144" s="22">
        <f>'рабочая не печать '!$M$61</f>
        <v>51.25925925925926</v>
      </c>
      <c r="R144" s="385">
        <f>O144*'рабочая не печать '!$N$63</f>
        <v>209.48148148148147</v>
      </c>
      <c r="V144" s="38">
        <f t="shared" si="37"/>
        <v>0.0544284</v>
      </c>
      <c r="W144" s="376">
        <v>0</v>
      </c>
      <c r="X144" s="42">
        <v>0</v>
      </c>
      <c r="Y144" s="393">
        <v>0</v>
      </c>
    </row>
    <row r="145" spans="1:25" ht="49.5" customHeight="1">
      <c r="A145" s="178"/>
      <c r="B145" s="22"/>
      <c r="C145" s="22" t="s">
        <v>777</v>
      </c>
      <c r="D145" s="42">
        <v>0.02</v>
      </c>
      <c r="E145" s="42">
        <v>0.02</v>
      </c>
      <c r="F145" s="42"/>
      <c r="G145" s="22">
        <v>789</v>
      </c>
      <c r="H145" s="22"/>
      <c r="I145" s="39">
        <f t="shared" si="20"/>
        <v>789</v>
      </c>
      <c r="J145" s="402"/>
      <c r="K145" s="407" t="e">
        <f t="shared" si="35"/>
        <v>#REF!</v>
      </c>
      <c r="L145" s="229" t="s">
        <v>553</v>
      </c>
      <c r="M145" s="179" t="e">
        <f>0.375*(2.34/3.43)*#REF!</f>
        <v>#REF!</v>
      </c>
      <c r="N145" s="169" t="e">
        <f t="shared" si="36"/>
        <v>#REF!</v>
      </c>
      <c r="O145" s="376">
        <f>'рабочая не печать '!$K$63</f>
        <v>2.2303703703703697</v>
      </c>
      <c r="P145" s="42"/>
      <c r="Q145" s="22">
        <f>'рабочая не печать '!$M$61</f>
        <v>51.25925925925926</v>
      </c>
      <c r="R145" s="385">
        <f>O145*'рабочая не печать '!$N$63</f>
        <v>209.48148148148147</v>
      </c>
      <c r="V145" s="38">
        <f t="shared" si="37"/>
        <v>0.0544284</v>
      </c>
      <c r="W145" s="376">
        <v>0</v>
      </c>
      <c r="X145" s="42">
        <v>0</v>
      </c>
      <c r="Y145" s="393">
        <v>0</v>
      </c>
    </row>
    <row r="146" spans="1:25" ht="49.5" customHeight="1">
      <c r="A146" s="178"/>
      <c r="B146" s="22"/>
      <c r="C146" s="22" t="s">
        <v>777</v>
      </c>
      <c r="D146" s="42">
        <v>0.02</v>
      </c>
      <c r="E146" s="42">
        <v>0.02</v>
      </c>
      <c r="F146" s="42"/>
      <c r="G146" s="22">
        <v>789</v>
      </c>
      <c r="H146" s="22"/>
      <c r="I146" s="39">
        <f t="shared" si="20"/>
        <v>789</v>
      </c>
      <c r="J146" s="402"/>
      <c r="K146" s="407" t="e">
        <f t="shared" si="35"/>
        <v>#REF!</v>
      </c>
      <c r="L146" s="229" t="s">
        <v>553</v>
      </c>
      <c r="M146" s="179" t="e">
        <f>0.375*(2.34/3.43)*#REF!</f>
        <v>#REF!</v>
      </c>
      <c r="N146" s="169" t="e">
        <f t="shared" si="36"/>
        <v>#REF!</v>
      </c>
      <c r="O146" s="376">
        <f>'рабочая не печать '!$K$63</f>
        <v>2.2303703703703697</v>
      </c>
      <c r="P146" s="42"/>
      <c r="Q146" s="22">
        <f>'рабочая не печать '!$M$61</f>
        <v>51.25925925925926</v>
      </c>
      <c r="R146" s="385">
        <f>O146*'рабочая не печать '!$N$63</f>
        <v>209.48148148148147</v>
      </c>
      <c r="V146" s="38">
        <f t="shared" si="37"/>
        <v>0.0544284</v>
      </c>
      <c r="W146" s="376">
        <v>0</v>
      </c>
      <c r="X146" s="42">
        <v>0</v>
      </c>
      <c r="Y146" s="393">
        <v>0</v>
      </c>
    </row>
    <row r="147" spans="1:25" ht="49.5" customHeight="1">
      <c r="A147" s="178"/>
      <c r="B147" s="22"/>
      <c r="C147" s="22" t="s">
        <v>777</v>
      </c>
      <c r="D147" s="42">
        <v>0.02</v>
      </c>
      <c r="E147" s="42">
        <v>0.02</v>
      </c>
      <c r="F147" s="42"/>
      <c r="G147" s="22"/>
      <c r="H147" s="22">
        <v>604</v>
      </c>
      <c r="I147" s="39">
        <f t="shared" si="20"/>
        <v>604</v>
      </c>
      <c r="J147" s="402"/>
      <c r="K147" s="407" t="e">
        <f t="shared" si="35"/>
        <v>#REF!</v>
      </c>
      <c r="L147" s="229" t="s">
        <v>553</v>
      </c>
      <c r="M147" s="179" t="e">
        <f>0.375*(2.34/3.43)*#REF!</f>
        <v>#REF!</v>
      </c>
      <c r="N147" s="169" t="e">
        <f t="shared" si="36"/>
        <v>#REF!</v>
      </c>
      <c r="O147" s="376">
        <f>'рабочая не печать '!$K$63</f>
        <v>2.2303703703703697</v>
      </c>
      <c r="P147" s="42"/>
      <c r="Q147" s="22">
        <f>'рабочая не печать '!$M$61</f>
        <v>51.25925925925926</v>
      </c>
      <c r="R147" s="385">
        <f>O147*'рабочая не печать '!$N$63</f>
        <v>209.48148148148147</v>
      </c>
      <c r="V147" s="38">
        <f t="shared" si="37"/>
        <v>0.0544284</v>
      </c>
      <c r="W147" s="376">
        <v>0</v>
      </c>
      <c r="X147" s="42">
        <v>0</v>
      </c>
      <c r="Y147" s="393">
        <v>0</v>
      </c>
    </row>
    <row r="148" spans="1:25" ht="49.5" customHeight="1">
      <c r="A148" s="178">
        <v>1</v>
      </c>
      <c r="B148" s="22"/>
      <c r="C148" s="22" t="s">
        <v>689</v>
      </c>
      <c r="D148" s="42">
        <v>0.02</v>
      </c>
      <c r="E148" s="42">
        <v>0.02</v>
      </c>
      <c r="F148" s="42">
        <f>E148*'рабочая не печать '!$D$63</f>
        <v>4.227418315236254</v>
      </c>
      <c r="G148" s="22"/>
      <c r="H148" s="22">
        <v>527</v>
      </c>
      <c r="I148" s="39">
        <f t="shared" si="20"/>
        <v>527</v>
      </c>
      <c r="J148" s="402">
        <v>4.23</v>
      </c>
      <c r="K148" s="407" t="e">
        <f t="shared" si="35"/>
        <v>#REF!</v>
      </c>
      <c r="L148" s="229" t="s">
        <v>553</v>
      </c>
      <c r="M148" s="179" t="e">
        <f>0.375*(2.34/3.43)*#REF!</f>
        <v>#REF!</v>
      </c>
      <c r="N148" s="169" t="e">
        <f t="shared" si="36"/>
        <v>#REF!</v>
      </c>
      <c r="O148" s="376">
        <f>'рабочая не печать '!$K$63</f>
        <v>2.2303703703703697</v>
      </c>
      <c r="P148" s="42"/>
      <c r="Q148" s="22">
        <f>'рабочая не печать '!$M$61</f>
        <v>51.25925925925926</v>
      </c>
      <c r="R148" s="385">
        <f>O148*'рабочая не печать '!$N$63</f>
        <v>209.48148148148147</v>
      </c>
      <c r="V148" s="38">
        <f t="shared" si="37"/>
        <v>0.0544284</v>
      </c>
      <c r="W148" s="376">
        <v>0</v>
      </c>
      <c r="X148" s="42">
        <v>0</v>
      </c>
      <c r="Y148" s="393">
        <v>0</v>
      </c>
    </row>
    <row r="149" spans="1:25" ht="49.5" customHeight="1">
      <c r="A149" s="178">
        <v>2</v>
      </c>
      <c r="B149" s="22"/>
      <c r="C149" s="22" t="s">
        <v>689</v>
      </c>
      <c r="D149" s="42">
        <v>0.04</v>
      </c>
      <c r="E149" s="42">
        <v>0.04</v>
      </c>
      <c r="F149" s="42">
        <f>E149*'рабочая не печать '!$D$63</f>
        <v>8.454836630472508</v>
      </c>
      <c r="G149" s="22"/>
      <c r="H149" s="22">
        <v>2811</v>
      </c>
      <c r="I149" s="39">
        <f t="shared" si="20"/>
        <v>2811</v>
      </c>
      <c r="J149" s="402">
        <v>8.45</v>
      </c>
      <c r="K149" s="407" t="e">
        <f t="shared" si="35"/>
        <v>#REF!</v>
      </c>
      <c r="L149" s="229" t="s">
        <v>553</v>
      </c>
      <c r="M149" s="179" t="e">
        <f>0.375*(2.34/3.43)*#REF!</f>
        <v>#REF!</v>
      </c>
      <c r="N149" s="169" t="e">
        <f t="shared" si="36"/>
        <v>#REF!</v>
      </c>
      <c r="O149" s="376">
        <f>'рабочая не печать '!$K$63</f>
        <v>2.2303703703703697</v>
      </c>
      <c r="P149" s="42"/>
      <c r="Q149" s="22">
        <f>'рабочая не печать '!$M$61</f>
        <v>51.25925925925926</v>
      </c>
      <c r="R149" s="385">
        <f>O149*'рабочая не печать '!$N$63</f>
        <v>209.48148148148147</v>
      </c>
      <c r="V149" s="38">
        <f t="shared" si="37"/>
        <v>0.1088568</v>
      </c>
      <c r="W149" s="376">
        <v>0</v>
      </c>
      <c r="X149" s="42">
        <v>0</v>
      </c>
      <c r="Y149" s="393">
        <v>0</v>
      </c>
    </row>
    <row r="150" spans="1:25" ht="49.5" customHeight="1" thickBot="1">
      <c r="A150" s="173"/>
      <c r="B150" s="47"/>
      <c r="C150" s="47" t="s">
        <v>777</v>
      </c>
      <c r="D150" s="49">
        <v>0.04</v>
      </c>
      <c r="E150" s="49">
        <v>0.04</v>
      </c>
      <c r="F150" s="49"/>
      <c r="G150" s="47"/>
      <c r="H150" s="47">
        <v>1489</v>
      </c>
      <c r="I150" s="160">
        <f t="shared" si="20"/>
        <v>1489</v>
      </c>
      <c r="J150" s="403"/>
      <c r="K150" s="407" t="e">
        <f t="shared" si="35"/>
        <v>#REF!</v>
      </c>
      <c r="L150" s="232" t="s">
        <v>553</v>
      </c>
      <c r="M150" s="179" t="e">
        <f>0.375*(2.34/3.43)*#REF!</f>
        <v>#REF!</v>
      </c>
      <c r="N150" s="179" t="e">
        <f t="shared" si="36"/>
        <v>#REF!</v>
      </c>
      <c r="O150" s="377">
        <f>'рабочая не печать '!$K$63</f>
        <v>2.2303703703703697</v>
      </c>
      <c r="P150" s="49"/>
      <c r="Q150" s="47">
        <f>'рабочая не печать '!$M$61</f>
        <v>51.25925925925926</v>
      </c>
      <c r="R150" s="386">
        <f>O150*'рабочая не печать '!$N$63</f>
        <v>209.48148148148147</v>
      </c>
      <c r="V150" s="162">
        <f t="shared" si="37"/>
        <v>0.1088568</v>
      </c>
      <c r="W150" s="377">
        <v>0</v>
      </c>
      <c r="X150" s="49">
        <v>0</v>
      </c>
      <c r="Y150" s="394">
        <v>0</v>
      </c>
    </row>
    <row r="151" spans="1:25" s="231" customFormat="1" ht="49.5" customHeight="1" thickBot="1">
      <c r="A151" s="198"/>
      <c r="B151" s="200" t="s">
        <v>779</v>
      </c>
      <c r="C151" s="200">
        <f>A149</f>
        <v>2</v>
      </c>
      <c r="D151" s="199">
        <f aca="true" t="shared" si="38" ref="D151:P151">SUM(D141:D150)</f>
        <v>0.24000000000000002</v>
      </c>
      <c r="E151" s="199">
        <f t="shared" si="38"/>
        <v>0.24000000000000002</v>
      </c>
      <c r="F151" s="199">
        <f t="shared" si="38"/>
        <v>12.682254945708763</v>
      </c>
      <c r="G151" s="200">
        <f t="shared" si="38"/>
        <v>4455</v>
      </c>
      <c r="H151" s="200">
        <f t="shared" si="38"/>
        <v>5431</v>
      </c>
      <c r="I151" s="200">
        <f t="shared" si="38"/>
        <v>9886</v>
      </c>
      <c r="J151" s="404">
        <f t="shared" si="38"/>
        <v>12.68</v>
      </c>
      <c r="K151" s="406" t="e">
        <f>SUM(K141:K150)</f>
        <v>#REF!</v>
      </c>
      <c r="L151" s="220"/>
      <c r="M151" s="199" t="e">
        <f>K151/I151</f>
        <v>#REF!</v>
      </c>
      <c r="N151" s="175" t="e">
        <f>SUM(N141:N150)</f>
        <v>#REF!</v>
      </c>
      <c r="O151" s="378">
        <f t="shared" si="38"/>
        <v>22.303703703703697</v>
      </c>
      <c r="P151" s="199">
        <f t="shared" si="38"/>
        <v>0</v>
      </c>
      <c r="Q151" s="200">
        <f>'рабочая не печать '!$M$61</f>
        <v>51.25925925925926</v>
      </c>
      <c r="R151" s="387">
        <f>SUM(R141:R150)</f>
        <v>2094.814814814815</v>
      </c>
      <c r="V151" s="199">
        <f t="shared" si="37"/>
        <v>0.6531408</v>
      </c>
      <c r="W151" s="378">
        <f>SUM(W141:W150)</f>
        <v>0</v>
      </c>
      <c r="X151" s="199">
        <f>SUM(X141:X150)</f>
        <v>0</v>
      </c>
      <c r="Y151" s="395">
        <f>SUM(Y141:Y150)</f>
        <v>0</v>
      </c>
    </row>
    <row r="152" spans="1:25" s="234" customFormat="1" ht="49.5" customHeight="1">
      <c r="A152" s="225"/>
      <c r="B152" s="223" t="s">
        <v>766</v>
      </c>
      <c r="C152" s="223"/>
      <c r="D152" s="222"/>
      <c r="E152" s="222"/>
      <c r="F152" s="222"/>
      <c r="G152" s="223"/>
      <c r="H152" s="223"/>
      <c r="I152" s="223"/>
      <c r="J152" s="409"/>
      <c r="K152" s="410"/>
      <c r="L152" s="151"/>
      <c r="M152" s="197"/>
      <c r="N152" s="197"/>
      <c r="O152" s="381"/>
      <c r="P152" s="227"/>
      <c r="Q152" s="226"/>
      <c r="R152" s="388"/>
      <c r="V152" s="222"/>
      <c r="W152" s="382"/>
      <c r="X152" s="222"/>
      <c r="Y152" s="398"/>
    </row>
    <row r="153" spans="1:25" ht="49.5" customHeight="1">
      <c r="A153" s="178">
        <v>1</v>
      </c>
      <c r="B153" s="247"/>
      <c r="C153" s="22" t="s">
        <v>767</v>
      </c>
      <c r="D153" s="42">
        <v>0.64</v>
      </c>
      <c r="E153" s="42">
        <v>0.64</v>
      </c>
      <c r="F153" s="42">
        <v>150</v>
      </c>
      <c r="G153" s="22">
        <v>21582</v>
      </c>
      <c r="H153" s="39"/>
      <c r="I153" s="39">
        <f>SUM(G153+H153)</f>
        <v>21582</v>
      </c>
      <c r="J153" s="402">
        <v>150</v>
      </c>
      <c r="K153" s="407" t="e">
        <f>SUM(M153*I153)</f>
        <v>#REF!</v>
      </c>
      <c r="L153" s="229" t="s">
        <v>553</v>
      </c>
      <c r="M153" s="179" t="e">
        <f>0.375*(2.34/3.43)*#REF!</f>
        <v>#REF!</v>
      </c>
      <c r="N153" s="169" t="e">
        <f aca="true" t="shared" si="39" ref="N153:N160">SUM(K153*0.05)</f>
        <v>#REF!</v>
      </c>
      <c r="O153" s="376">
        <v>1.22</v>
      </c>
      <c r="P153" s="42"/>
      <c r="Q153" s="22">
        <v>20</v>
      </c>
      <c r="R153" s="385">
        <v>28</v>
      </c>
      <c r="V153" s="38">
        <f>SUM(E153*2.34*1.163)</f>
        <v>1.7417088</v>
      </c>
      <c r="W153" s="376">
        <v>0</v>
      </c>
      <c r="X153" s="42">
        <v>0</v>
      </c>
      <c r="Y153" s="393">
        <v>0</v>
      </c>
    </row>
    <row r="154" spans="1:25" ht="49.5" customHeight="1">
      <c r="A154" s="178">
        <v>2</v>
      </c>
      <c r="B154" s="39"/>
      <c r="C154" s="22" t="s">
        <v>780</v>
      </c>
      <c r="D154" s="42">
        <v>0.724</v>
      </c>
      <c r="E154" s="42">
        <v>0.724</v>
      </c>
      <c r="F154" s="42">
        <v>150</v>
      </c>
      <c r="G154" s="22">
        <v>26475</v>
      </c>
      <c r="H154" s="39"/>
      <c r="I154" s="39">
        <f>SUM(G154+H154)</f>
        <v>26475</v>
      </c>
      <c r="J154" s="402">
        <v>150</v>
      </c>
      <c r="K154" s="407" t="e">
        <f>SUM(M154*I154)</f>
        <v>#REF!</v>
      </c>
      <c r="L154" s="229" t="s">
        <v>56</v>
      </c>
      <c r="M154" s="169" t="e">
        <f>0.242*(2.34/3.43)*#REF!</f>
        <v>#REF!</v>
      </c>
      <c r="N154" s="169" t="e">
        <f t="shared" si="39"/>
        <v>#REF!</v>
      </c>
      <c r="O154" s="376">
        <v>1.03</v>
      </c>
      <c r="P154" s="42"/>
      <c r="Q154" s="22">
        <v>60</v>
      </c>
      <c r="R154" s="385">
        <v>28</v>
      </c>
      <c r="V154" s="38">
        <f aca="true" t="shared" si="40" ref="V154:V161">SUM(E154*2.34*1.163)</f>
        <v>1.97030808</v>
      </c>
      <c r="W154" s="376">
        <f>O154</f>
        <v>1.03</v>
      </c>
      <c r="X154" s="42">
        <f>Q154</f>
        <v>60</v>
      </c>
      <c r="Y154" s="393">
        <f>R154</f>
        <v>28</v>
      </c>
    </row>
    <row r="155" spans="1:25" ht="49.5" customHeight="1">
      <c r="A155" s="823">
        <v>3</v>
      </c>
      <c r="B155" s="39"/>
      <c r="C155" s="771" t="s">
        <v>781</v>
      </c>
      <c r="D155" s="773">
        <f>SUM(E155:E157)</f>
        <v>0.6400000000000001</v>
      </c>
      <c r="E155" s="42">
        <v>0.51</v>
      </c>
      <c r="F155" s="773">
        <v>150</v>
      </c>
      <c r="G155" s="22">
        <v>17535</v>
      </c>
      <c r="H155" s="39"/>
      <c r="I155" s="770">
        <f>SUM(G155,H156,H157)</f>
        <v>21816</v>
      </c>
      <c r="J155" s="814">
        <v>150</v>
      </c>
      <c r="K155" s="407" t="e">
        <f>M155*G155</f>
        <v>#REF!</v>
      </c>
      <c r="L155" s="229" t="s">
        <v>553</v>
      </c>
      <c r="M155" s="179" t="e">
        <f>0.375*(2.34/3.43)*#REF!</f>
        <v>#REF!</v>
      </c>
      <c r="N155" s="169" t="e">
        <f t="shared" si="39"/>
        <v>#REF!</v>
      </c>
      <c r="O155" s="785">
        <v>1.3</v>
      </c>
      <c r="P155" s="42"/>
      <c r="Q155" s="771">
        <v>60</v>
      </c>
      <c r="R155" s="791">
        <v>28</v>
      </c>
      <c r="V155" s="38">
        <f t="shared" si="40"/>
        <v>1.3879242</v>
      </c>
      <c r="W155" s="376">
        <v>0</v>
      </c>
      <c r="X155" s="42">
        <v>0</v>
      </c>
      <c r="Y155" s="393">
        <v>0</v>
      </c>
    </row>
    <row r="156" spans="1:25" ht="49.5" customHeight="1">
      <c r="A156" s="841"/>
      <c r="B156" s="39"/>
      <c r="C156" s="771"/>
      <c r="D156" s="773"/>
      <c r="E156" s="42">
        <v>0.06</v>
      </c>
      <c r="F156" s="773"/>
      <c r="G156" s="22"/>
      <c r="H156" s="22">
        <v>1964</v>
      </c>
      <c r="I156" s="770"/>
      <c r="J156" s="816"/>
      <c r="K156" s="407" t="e">
        <f>M156*H156</f>
        <v>#REF!</v>
      </c>
      <c r="L156" s="229" t="s">
        <v>553</v>
      </c>
      <c r="M156" s="179" t="e">
        <f>0.375*(2.34/3.43)*#REF!</f>
        <v>#REF!</v>
      </c>
      <c r="N156" s="169" t="e">
        <f t="shared" si="39"/>
        <v>#REF!</v>
      </c>
      <c r="O156" s="785"/>
      <c r="P156" s="42"/>
      <c r="Q156" s="771"/>
      <c r="R156" s="791"/>
      <c r="V156" s="38">
        <f t="shared" si="40"/>
        <v>0.1632852</v>
      </c>
      <c r="W156" s="376">
        <v>0</v>
      </c>
      <c r="X156" s="42">
        <v>0</v>
      </c>
      <c r="Y156" s="393">
        <v>0</v>
      </c>
    </row>
    <row r="157" spans="1:25" ht="49.5" customHeight="1">
      <c r="A157" s="843"/>
      <c r="B157" s="39"/>
      <c r="C157" s="771"/>
      <c r="D157" s="773"/>
      <c r="E157" s="42">
        <v>0.07</v>
      </c>
      <c r="F157" s="773"/>
      <c r="G157" s="22"/>
      <c r="H157" s="22">
        <v>2317</v>
      </c>
      <c r="I157" s="770"/>
      <c r="J157" s="815"/>
      <c r="K157" s="407" t="e">
        <f>M157*H157</f>
        <v>#REF!</v>
      </c>
      <c r="L157" s="229" t="s">
        <v>553</v>
      </c>
      <c r="M157" s="179" t="e">
        <f>0.375*(2.34/3.43)*#REF!</f>
        <v>#REF!</v>
      </c>
      <c r="N157" s="169" t="e">
        <f t="shared" si="39"/>
        <v>#REF!</v>
      </c>
      <c r="O157" s="785"/>
      <c r="P157" s="42"/>
      <c r="Q157" s="771"/>
      <c r="R157" s="791"/>
      <c r="V157" s="38">
        <f t="shared" si="40"/>
        <v>0.1904994</v>
      </c>
      <c r="W157" s="376">
        <v>0</v>
      </c>
      <c r="X157" s="42">
        <v>0</v>
      </c>
      <c r="Y157" s="393">
        <v>0</v>
      </c>
    </row>
    <row r="158" spans="1:25" ht="49.5" customHeight="1">
      <c r="A158" s="178">
        <v>4</v>
      </c>
      <c r="B158" s="39"/>
      <c r="C158" s="22" t="s">
        <v>782</v>
      </c>
      <c r="D158" s="42">
        <v>0.048</v>
      </c>
      <c r="E158" s="42">
        <v>0.048</v>
      </c>
      <c r="F158" s="42">
        <v>150</v>
      </c>
      <c r="G158" s="39"/>
      <c r="H158" s="22">
        <v>1663</v>
      </c>
      <c r="I158" s="39">
        <f aca="true" t="shared" si="41" ref="I158:I165">SUM(G158+H158)</f>
        <v>1663</v>
      </c>
      <c r="J158" s="402">
        <v>150</v>
      </c>
      <c r="K158" s="407" t="e">
        <f>M158*I158</f>
        <v>#REF!</v>
      </c>
      <c r="L158" s="229" t="s">
        <v>553</v>
      </c>
      <c r="M158" s="179" t="e">
        <f>0.375*(2.34/3.43)*#REF!</f>
        <v>#REF!</v>
      </c>
      <c r="N158" s="169" t="e">
        <f t="shared" si="39"/>
        <v>#REF!</v>
      </c>
      <c r="O158" s="376">
        <v>2.2</v>
      </c>
      <c r="P158" s="42"/>
      <c r="Q158" s="22">
        <v>50</v>
      </c>
      <c r="R158" s="385">
        <v>28</v>
      </c>
      <c r="V158" s="38">
        <f t="shared" si="40"/>
        <v>0.13062816</v>
      </c>
      <c r="W158" s="376">
        <v>0</v>
      </c>
      <c r="X158" s="42">
        <v>0</v>
      </c>
      <c r="Y158" s="393">
        <v>0</v>
      </c>
    </row>
    <row r="159" spans="1:25" ht="49.5" customHeight="1">
      <c r="A159" s="178">
        <v>5</v>
      </c>
      <c r="B159" s="39"/>
      <c r="C159" s="22" t="s">
        <v>783</v>
      </c>
      <c r="D159" s="42">
        <v>0.4</v>
      </c>
      <c r="E159" s="42">
        <v>0.4</v>
      </c>
      <c r="F159" s="42">
        <v>190</v>
      </c>
      <c r="G159" s="22">
        <v>21516</v>
      </c>
      <c r="H159" s="39"/>
      <c r="I159" s="39">
        <f t="shared" si="41"/>
        <v>21516</v>
      </c>
      <c r="J159" s="402">
        <v>190</v>
      </c>
      <c r="K159" s="407" t="e">
        <f>SUM(M159*I159)</f>
        <v>#REF!</v>
      </c>
      <c r="L159" s="229" t="s">
        <v>553</v>
      </c>
      <c r="M159" s="179" t="e">
        <f>0.375*(2.34/3.43)*#REF!</f>
        <v>#REF!</v>
      </c>
      <c r="N159" s="169" t="e">
        <f t="shared" si="39"/>
        <v>#REF!</v>
      </c>
      <c r="O159" s="376">
        <v>1.2</v>
      </c>
      <c r="P159" s="42"/>
      <c r="Q159" s="22">
        <v>50</v>
      </c>
      <c r="R159" s="385">
        <v>190</v>
      </c>
      <c r="V159" s="38">
        <f t="shared" si="40"/>
        <v>1.088568</v>
      </c>
      <c r="W159" s="376">
        <v>0</v>
      </c>
      <c r="X159" s="42">
        <v>0</v>
      </c>
      <c r="Y159" s="393">
        <v>0</v>
      </c>
    </row>
    <row r="160" spans="1:25" ht="49.5" customHeight="1" thickBot="1">
      <c r="A160" s="173">
        <v>6</v>
      </c>
      <c r="B160" s="160"/>
      <c r="C160" s="47" t="s">
        <v>785</v>
      </c>
      <c r="D160" s="49">
        <v>0.8</v>
      </c>
      <c r="E160" s="49">
        <v>0.8</v>
      </c>
      <c r="F160" s="49">
        <v>150</v>
      </c>
      <c r="G160" s="47">
        <v>38934</v>
      </c>
      <c r="H160" s="160"/>
      <c r="I160" s="160">
        <f t="shared" si="41"/>
        <v>38934</v>
      </c>
      <c r="J160" s="403">
        <v>150</v>
      </c>
      <c r="K160" s="407" t="e">
        <f>SUM(M160*I160)</f>
        <v>#REF!</v>
      </c>
      <c r="L160" s="232" t="s">
        <v>553</v>
      </c>
      <c r="M160" s="179" t="e">
        <f>0.375*(2.34/3.43)*#REF!</f>
        <v>#REF!</v>
      </c>
      <c r="N160" s="179" t="e">
        <f t="shared" si="39"/>
        <v>#REF!</v>
      </c>
      <c r="O160" s="377">
        <v>2.1</v>
      </c>
      <c r="P160" s="49"/>
      <c r="Q160" s="47">
        <v>50</v>
      </c>
      <c r="R160" s="386">
        <v>150</v>
      </c>
      <c r="V160" s="162">
        <f t="shared" si="40"/>
        <v>2.177136</v>
      </c>
      <c r="W160" s="377">
        <v>0</v>
      </c>
      <c r="X160" s="49">
        <v>0</v>
      </c>
      <c r="Y160" s="394">
        <v>0</v>
      </c>
    </row>
    <row r="161" spans="1:25" s="231" customFormat="1" ht="66" customHeight="1" thickBot="1">
      <c r="A161" s="198"/>
      <c r="B161" s="200" t="s">
        <v>790</v>
      </c>
      <c r="C161" s="200">
        <v>6</v>
      </c>
      <c r="D161" s="199">
        <f aca="true" t="shared" si="42" ref="D161:R161">SUM(D153:D160)</f>
        <v>3.252</v>
      </c>
      <c r="E161" s="199">
        <f t="shared" si="42"/>
        <v>3.252</v>
      </c>
      <c r="F161" s="199">
        <f t="shared" si="42"/>
        <v>940</v>
      </c>
      <c r="G161" s="200">
        <f t="shared" si="42"/>
        <v>126042</v>
      </c>
      <c r="H161" s="200">
        <f t="shared" si="42"/>
        <v>5944</v>
      </c>
      <c r="I161" s="200">
        <f t="shared" si="42"/>
        <v>131986</v>
      </c>
      <c r="J161" s="404">
        <f t="shared" si="42"/>
        <v>940</v>
      </c>
      <c r="K161" s="406" t="e">
        <f>SUM(K153:K160)</f>
        <v>#REF!</v>
      </c>
      <c r="L161" s="220"/>
      <c r="M161" s="199" t="e">
        <f>K161/I161</f>
        <v>#REF!</v>
      </c>
      <c r="N161" s="175" t="e">
        <f>SUM(N153:N160)</f>
        <v>#REF!</v>
      </c>
      <c r="O161" s="378">
        <f t="shared" si="42"/>
        <v>9.05</v>
      </c>
      <c r="P161" s="199">
        <f t="shared" si="42"/>
        <v>0</v>
      </c>
      <c r="Q161" s="200">
        <f>SUM(Q153:Q160)/6</f>
        <v>48.333333333333336</v>
      </c>
      <c r="R161" s="387">
        <f t="shared" si="42"/>
        <v>452</v>
      </c>
      <c r="V161" s="199">
        <f t="shared" si="40"/>
        <v>8.85005784</v>
      </c>
      <c r="W161" s="378">
        <f>SUM(W153:W160)</f>
        <v>1.03</v>
      </c>
      <c r="X161" s="199">
        <f>SUM(X153:X160)</f>
        <v>60</v>
      </c>
      <c r="Y161" s="395">
        <f>SUM(Y153:Y160)</f>
        <v>28</v>
      </c>
    </row>
    <row r="162" spans="1:25" s="234" customFormat="1" ht="58.5" customHeight="1" thickBot="1">
      <c r="A162" s="224"/>
      <c r="B162" s="200" t="s">
        <v>791</v>
      </c>
      <c r="C162" s="200">
        <f aca="true" t="shared" si="43" ref="C162:K162">C161+C151+C139+C122+C131</f>
        <v>19</v>
      </c>
      <c r="D162" s="199">
        <f t="shared" si="43"/>
        <v>8.638</v>
      </c>
      <c r="E162" s="199">
        <f t="shared" si="43"/>
        <v>9.389999999999999</v>
      </c>
      <c r="F162" s="199">
        <f t="shared" si="43"/>
        <v>1419.4325172294116</v>
      </c>
      <c r="G162" s="200">
        <f t="shared" si="43"/>
        <v>174477</v>
      </c>
      <c r="H162" s="200">
        <f t="shared" si="43"/>
        <v>29676</v>
      </c>
      <c r="I162" s="200">
        <f t="shared" si="43"/>
        <v>204153</v>
      </c>
      <c r="J162" s="404">
        <f t="shared" si="43"/>
        <v>1419.44</v>
      </c>
      <c r="K162" s="404" t="e">
        <f t="shared" si="43"/>
        <v>#REF!</v>
      </c>
      <c r="L162" s="200"/>
      <c r="M162" s="199" t="e">
        <f>K162/I162</f>
        <v>#REF!</v>
      </c>
      <c r="N162" s="199" t="e">
        <f>N161+N151+N139+N122+N131</f>
        <v>#REF!</v>
      </c>
      <c r="O162" s="378">
        <f>O161+O151+O139+O122+O131</f>
        <v>106.02555555555551</v>
      </c>
      <c r="P162" s="199">
        <f>P161+P151+P139+P122+P131</f>
        <v>0.2</v>
      </c>
      <c r="Q162" s="200">
        <f>(Q161+Q151+Q139+Q122+Q131)/5</f>
        <v>51.86666666666666</v>
      </c>
      <c r="R162" s="387">
        <f>R161+R151+R139+R122+R131</f>
        <v>8044.313910722412</v>
      </c>
      <c r="V162" s="199">
        <f>V161+V151+V139+V122+V131</f>
        <v>25.554133799999995</v>
      </c>
      <c r="W162" s="378">
        <f>W161+W151+W139+W122+W131</f>
        <v>1.03</v>
      </c>
      <c r="X162" s="199">
        <f>X161+X151+X139+X122+X131</f>
        <v>60</v>
      </c>
      <c r="Y162" s="395">
        <f>Y161+Y151+Y139+Y122+Y131</f>
        <v>28</v>
      </c>
    </row>
    <row r="163" spans="1:25" s="233" customFormat="1" ht="49.5" customHeight="1">
      <c r="A163" s="161"/>
      <c r="B163" s="176" t="s">
        <v>101</v>
      </c>
      <c r="C163" s="171"/>
      <c r="D163" s="174"/>
      <c r="E163" s="76"/>
      <c r="F163" s="76"/>
      <c r="G163" s="176"/>
      <c r="H163" s="176"/>
      <c r="I163" s="176"/>
      <c r="J163" s="400"/>
      <c r="K163" s="400"/>
      <c r="L163" s="176"/>
      <c r="M163" s="76"/>
      <c r="N163" s="76"/>
      <c r="O163" s="375"/>
      <c r="P163" s="76"/>
      <c r="Q163" s="171"/>
      <c r="R163" s="384"/>
      <c r="V163" s="174"/>
      <c r="W163" s="375"/>
      <c r="X163" s="76"/>
      <c r="Y163" s="392"/>
    </row>
    <row r="164" spans="1:25" ht="57" customHeight="1">
      <c r="A164" s="178">
        <v>1</v>
      </c>
      <c r="B164" s="22" t="s">
        <v>771</v>
      </c>
      <c r="C164" s="22" t="s">
        <v>769</v>
      </c>
      <c r="D164" s="42">
        <v>0.5</v>
      </c>
      <c r="E164" s="42">
        <v>0.5</v>
      </c>
      <c r="F164" s="42">
        <f>E164*'рабочая не печать '!$D$63</f>
        <v>105.68545788090636</v>
      </c>
      <c r="G164" s="22"/>
      <c r="H164" s="22">
        <v>819</v>
      </c>
      <c r="I164" s="39">
        <f t="shared" si="41"/>
        <v>819</v>
      </c>
      <c r="J164" s="402">
        <v>105.69</v>
      </c>
      <c r="K164" s="407" t="e">
        <f>SUM(M164*I164)</f>
        <v>#REF!</v>
      </c>
      <c r="L164" s="229" t="s">
        <v>553</v>
      </c>
      <c r="M164" s="179" t="e">
        <f>0.375*(2.34/3.43)*#REF!</f>
        <v>#REF!</v>
      </c>
      <c r="N164" s="169" t="e">
        <f>SUM(K164*0.05)</f>
        <v>#REF!</v>
      </c>
      <c r="O164" s="376">
        <f>'рабочая не печать '!$K$63</f>
        <v>2.2303703703703697</v>
      </c>
      <c r="P164" s="42"/>
      <c r="Q164" s="22">
        <f>'рабочая не печать '!$M$61</f>
        <v>51.25925925925926</v>
      </c>
      <c r="R164" s="385">
        <f>O164*'рабочая не печать '!$N$63</f>
        <v>209.48148148148147</v>
      </c>
      <c r="V164" s="38">
        <f>SUM(E164*2.34*1.163)</f>
        <v>1.3607099999999999</v>
      </c>
      <c r="W164" s="376">
        <v>0</v>
      </c>
      <c r="X164" s="42">
        <v>0</v>
      </c>
      <c r="Y164" s="393">
        <v>0</v>
      </c>
    </row>
    <row r="165" spans="1:25" ht="60" customHeight="1" thickBot="1">
      <c r="A165" s="173">
        <v>2</v>
      </c>
      <c r="B165" s="47" t="s">
        <v>772</v>
      </c>
      <c r="C165" s="47" t="s">
        <v>769</v>
      </c>
      <c r="D165" s="49">
        <v>0.5</v>
      </c>
      <c r="E165" s="49">
        <v>0.5</v>
      </c>
      <c r="F165" s="42">
        <f>E165*'рабочая не печать '!$D$63</f>
        <v>105.68545788090636</v>
      </c>
      <c r="G165" s="47"/>
      <c r="H165" s="47">
        <v>6099</v>
      </c>
      <c r="I165" s="160">
        <f t="shared" si="41"/>
        <v>6099</v>
      </c>
      <c r="J165" s="402">
        <v>105.69</v>
      </c>
      <c r="K165" s="405" t="e">
        <f>SUM(M165*I165)</f>
        <v>#REF!</v>
      </c>
      <c r="L165" s="232" t="s">
        <v>133</v>
      </c>
      <c r="M165" s="179" t="e">
        <f>0.29*(2.34/3.43)*#REF!</f>
        <v>#REF!</v>
      </c>
      <c r="N165" s="179" t="e">
        <f>SUM(K165*0.05)</f>
        <v>#REF!</v>
      </c>
      <c r="O165" s="376">
        <f>'рабочая не печать '!$K$63</f>
        <v>2.2303703703703697</v>
      </c>
      <c r="P165" s="49"/>
      <c r="Q165" s="22">
        <f>'рабочая не печать '!$M$61</f>
        <v>51.25925925925926</v>
      </c>
      <c r="R165" s="385">
        <f>O165*'рабочая не печать '!$N$63</f>
        <v>209.48148148148147</v>
      </c>
      <c r="V165" s="38">
        <f>SUM(E165*2.34*1.163)</f>
        <v>1.3607099999999999</v>
      </c>
      <c r="W165" s="376">
        <v>0</v>
      </c>
      <c r="X165" s="42">
        <v>0</v>
      </c>
      <c r="Y165" s="393">
        <v>0</v>
      </c>
    </row>
    <row r="166" spans="1:25" s="231" customFormat="1" ht="66" customHeight="1" thickBot="1">
      <c r="A166" s="198"/>
      <c r="B166" s="200" t="s">
        <v>770</v>
      </c>
      <c r="C166" s="200">
        <v>2</v>
      </c>
      <c r="D166" s="199">
        <f aca="true" t="shared" si="44" ref="D166:O166">SUM(D164:D165)</f>
        <v>1</v>
      </c>
      <c r="E166" s="199">
        <f t="shared" si="44"/>
        <v>1</v>
      </c>
      <c r="F166" s="199">
        <f t="shared" si="44"/>
        <v>211.3709157618127</v>
      </c>
      <c r="G166" s="200">
        <f t="shared" si="44"/>
        <v>0</v>
      </c>
      <c r="H166" s="200">
        <f t="shared" si="44"/>
        <v>6918</v>
      </c>
      <c r="I166" s="200">
        <f t="shared" si="44"/>
        <v>6918</v>
      </c>
      <c r="J166" s="404">
        <f t="shared" si="44"/>
        <v>211.38</v>
      </c>
      <c r="K166" s="406" t="e">
        <f>SUM(K164:K165)</f>
        <v>#REF!</v>
      </c>
      <c r="L166" s="220"/>
      <c r="M166" s="199" t="e">
        <f>K166/I166</f>
        <v>#REF!</v>
      </c>
      <c r="N166" s="175" t="e">
        <f>SUM(N164:N165)</f>
        <v>#REF!</v>
      </c>
      <c r="O166" s="378">
        <f t="shared" si="44"/>
        <v>4.460740740740739</v>
      </c>
      <c r="P166" s="199">
        <f>SUM(P164:P165)</f>
        <v>0</v>
      </c>
      <c r="Q166" s="200">
        <f>SUM(Q164:Q165)/2</f>
        <v>51.25925925925926</v>
      </c>
      <c r="R166" s="387">
        <f>SUM(R164:R165)</f>
        <v>418.96296296296293</v>
      </c>
      <c r="V166" s="199">
        <f>SUM(V164:V165)</f>
        <v>2.7214199999999997</v>
      </c>
      <c r="W166" s="378">
        <f>SUM(W164:W165)</f>
        <v>0</v>
      </c>
      <c r="X166" s="199">
        <f>SUM(X164:X165)</f>
        <v>0</v>
      </c>
      <c r="Y166" s="395">
        <f>SUM(Y164:Y165)</f>
        <v>0</v>
      </c>
    </row>
    <row r="167" spans="1:25" s="233" customFormat="1" ht="49.5" customHeight="1">
      <c r="A167" s="161"/>
      <c r="B167" s="176" t="s">
        <v>792</v>
      </c>
      <c r="C167" s="171"/>
      <c r="D167" s="76"/>
      <c r="E167" s="76"/>
      <c r="F167" s="76"/>
      <c r="G167" s="171"/>
      <c r="H167" s="171"/>
      <c r="I167" s="176"/>
      <c r="J167" s="400"/>
      <c r="K167" s="400"/>
      <c r="L167" s="176"/>
      <c r="M167" s="76"/>
      <c r="N167" s="76"/>
      <c r="O167" s="375"/>
      <c r="P167" s="76"/>
      <c r="Q167" s="171"/>
      <c r="R167" s="384"/>
      <c r="V167" s="174"/>
      <c r="W167" s="375"/>
      <c r="X167" s="76"/>
      <c r="Y167" s="392"/>
    </row>
    <row r="168" spans="1:25" s="234" customFormat="1" ht="49.5" customHeight="1">
      <c r="A168" s="228"/>
      <c r="B168" s="218" t="s">
        <v>793</v>
      </c>
      <c r="C168" s="226"/>
      <c r="D168" s="227"/>
      <c r="E168" s="227"/>
      <c r="F168" s="227"/>
      <c r="G168" s="226"/>
      <c r="H168" s="226"/>
      <c r="I168" s="223"/>
      <c r="J168" s="408"/>
      <c r="K168" s="408"/>
      <c r="L168" s="223"/>
      <c r="M168" s="227"/>
      <c r="N168" s="227"/>
      <c r="O168" s="381"/>
      <c r="P168" s="227"/>
      <c r="Q168" s="226"/>
      <c r="R168" s="388"/>
      <c r="V168" s="222"/>
      <c r="W168" s="381"/>
      <c r="X168" s="227"/>
      <c r="Y168" s="397"/>
    </row>
    <row r="169" spans="1:25" ht="49.5" customHeight="1">
      <c r="A169" s="823">
        <v>1</v>
      </c>
      <c r="B169" s="247"/>
      <c r="C169" s="771" t="s">
        <v>734</v>
      </c>
      <c r="D169" s="773">
        <v>9.6</v>
      </c>
      <c r="E169" s="42">
        <f>SUM(9.6/34038)*G169</f>
        <v>7.337662612374404</v>
      </c>
      <c r="F169" s="773">
        <v>850</v>
      </c>
      <c r="G169" s="22">
        <v>26016.6</v>
      </c>
      <c r="H169" s="22"/>
      <c r="I169" s="770">
        <f>SUM(G169,H170,H171,H172,H173,H174,H175,H176,H177)</f>
        <v>34037.6</v>
      </c>
      <c r="J169" s="814">
        <v>850</v>
      </c>
      <c r="K169" s="407" t="e">
        <f>SUM(M169*G169)</f>
        <v>#REF!</v>
      </c>
      <c r="L169" s="229" t="s">
        <v>56</v>
      </c>
      <c r="M169" s="169" t="e">
        <f>0.242*(2.34/3.43)*#REF!</f>
        <v>#REF!</v>
      </c>
      <c r="N169" s="169" t="e">
        <f aca="true" t="shared" si="45" ref="N169:N182">SUM(K169*0.05)</f>
        <v>#REF!</v>
      </c>
      <c r="O169" s="785">
        <v>3.6</v>
      </c>
      <c r="P169" s="773">
        <v>0.98</v>
      </c>
      <c r="Q169" s="771">
        <v>53</v>
      </c>
      <c r="R169" s="791">
        <v>570</v>
      </c>
      <c r="V169" s="38">
        <f>SUM(E169*2.34*1.163)</f>
        <v>19.968861786567953</v>
      </c>
      <c r="W169" s="376">
        <f>O169</f>
        <v>3.6</v>
      </c>
      <c r="X169" s="42">
        <f>Q169</f>
        <v>53</v>
      </c>
      <c r="Y169" s="393">
        <f>R169</f>
        <v>570</v>
      </c>
    </row>
    <row r="170" spans="1:25" ht="49.5" customHeight="1">
      <c r="A170" s="831"/>
      <c r="B170" s="39"/>
      <c r="C170" s="771"/>
      <c r="D170" s="773"/>
      <c r="E170" s="42">
        <f>SUM(9.6/34038)*H170</f>
        <v>0.401621716904636</v>
      </c>
      <c r="F170" s="773"/>
      <c r="G170" s="22"/>
      <c r="H170" s="22">
        <v>1424</v>
      </c>
      <c r="I170" s="770"/>
      <c r="J170" s="816"/>
      <c r="K170" s="407" t="e">
        <f aca="true" t="shared" si="46" ref="K170:K177">SUM(M170*H170)</f>
        <v>#REF!</v>
      </c>
      <c r="L170" s="229" t="s">
        <v>553</v>
      </c>
      <c r="M170" s="179" t="e">
        <f>0.375*(2.34/3.43)*#REF!</f>
        <v>#REF!</v>
      </c>
      <c r="N170" s="169" t="e">
        <f t="shared" si="45"/>
        <v>#REF!</v>
      </c>
      <c r="O170" s="785"/>
      <c r="P170" s="773"/>
      <c r="Q170" s="771"/>
      <c r="R170" s="791"/>
      <c r="V170" s="38">
        <f aca="true" t="shared" si="47" ref="V170:V182">SUM(E170*2.34*1.163)</f>
        <v>1.0929813728186144</v>
      </c>
      <c r="W170" s="376">
        <v>0</v>
      </c>
      <c r="X170" s="42">
        <v>0</v>
      </c>
      <c r="Y170" s="393">
        <v>0</v>
      </c>
    </row>
    <row r="171" spans="1:25" ht="49.5" customHeight="1">
      <c r="A171" s="826"/>
      <c r="B171" s="39"/>
      <c r="C171" s="771"/>
      <c r="D171" s="773"/>
      <c r="E171" s="42">
        <f aca="true" t="shared" si="48" ref="E171:E177">SUM(9.6/34038)*H171</f>
        <v>0.33900934249955933</v>
      </c>
      <c r="F171" s="773"/>
      <c r="G171" s="22"/>
      <c r="H171" s="22">
        <v>1202</v>
      </c>
      <c r="I171" s="770"/>
      <c r="J171" s="816"/>
      <c r="K171" s="407" t="e">
        <f t="shared" si="46"/>
        <v>#REF!</v>
      </c>
      <c r="L171" s="229" t="s">
        <v>553</v>
      </c>
      <c r="M171" s="179" t="e">
        <f>0.375*(2.34/3.43)*#REF!</f>
        <v>#REF!</v>
      </c>
      <c r="N171" s="169" t="e">
        <f t="shared" si="45"/>
        <v>#REF!</v>
      </c>
      <c r="O171" s="785"/>
      <c r="P171" s="773"/>
      <c r="Q171" s="771"/>
      <c r="R171" s="791"/>
      <c r="V171" s="38">
        <f t="shared" si="47"/>
        <v>0.9225868048651507</v>
      </c>
      <c r="W171" s="376">
        <v>0</v>
      </c>
      <c r="X171" s="42">
        <v>0</v>
      </c>
      <c r="Y171" s="393">
        <v>0</v>
      </c>
    </row>
    <row r="172" spans="1:25" ht="49.5" customHeight="1">
      <c r="A172" s="826"/>
      <c r="B172" s="39"/>
      <c r="C172" s="771"/>
      <c r="D172" s="773"/>
      <c r="E172" s="42">
        <f t="shared" si="48"/>
        <v>0.22873259298431164</v>
      </c>
      <c r="F172" s="773"/>
      <c r="G172" s="22"/>
      <c r="H172" s="22">
        <v>811</v>
      </c>
      <c r="I172" s="770"/>
      <c r="J172" s="816"/>
      <c r="K172" s="407" t="e">
        <f t="shared" si="46"/>
        <v>#REF!</v>
      </c>
      <c r="L172" s="229" t="s">
        <v>553</v>
      </c>
      <c r="M172" s="179" t="e">
        <f>0.375*(2.34/3.43)*#REF!</f>
        <v>#REF!</v>
      </c>
      <c r="N172" s="169" t="e">
        <f t="shared" si="45"/>
        <v>#REF!</v>
      </c>
      <c r="O172" s="785"/>
      <c r="P172" s="773"/>
      <c r="Q172" s="771"/>
      <c r="R172" s="791"/>
      <c r="V172" s="38">
        <f t="shared" si="47"/>
        <v>0.6224774531993653</v>
      </c>
      <c r="W172" s="376">
        <v>0</v>
      </c>
      <c r="X172" s="42">
        <v>0</v>
      </c>
      <c r="Y172" s="393">
        <v>0</v>
      </c>
    </row>
    <row r="173" spans="1:25" ht="49.5" customHeight="1">
      <c r="A173" s="826"/>
      <c r="B173" s="39"/>
      <c r="C173" s="771"/>
      <c r="D173" s="773"/>
      <c r="E173" s="42">
        <f t="shared" si="48"/>
        <v>0.11930195663670015</v>
      </c>
      <c r="F173" s="773"/>
      <c r="G173" s="22"/>
      <c r="H173" s="22">
        <v>423</v>
      </c>
      <c r="I173" s="770"/>
      <c r="J173" s="816"/>
      <c r="K173" s="407" t="e">
        <f t="shared" si="46"/>
        <v>#REF!</v>
      </c>
      <c r="L173" s="229" t="s">
        <v>553</v>
      </c>
      <c r="M173" s="179" t="e">
        <f>0.375*(2.34/3.43)*#REF!</f>
        <v>#REF!</v>
      </c>
      <c r="N173" s="169" t="e">
        <f t="shared" si="45"/>
        <v>#REF!</v>
      </c>
      <c r="O173" s="785"/>
      <c r="P173" s="773"/>
      <c r="Q173" s="771"/>
      <c r="R173" s="791"/>
      <c r="V173" s="38">
        <f t="shared" si="47"/>
        <v>0.32467073083024856</v>
      </c>
      <c r="W173" s="376">
        <v>0</v>
      </c>
      <c r="X173" s="42">
        <v>0</v>
      </c>
      <c r="Y173" s="393">
        <v>0</v>
      </c>
    </row>
    <row r="174" spans="1:25" ht="49.5" customHeight="1">
      <c r="A174" s="826"/>
      <c r="B174" s="39"/>
      <c r="C174" s="771"/>
      <c r="D174" s="773"/>
      <c r="E174" s="42">
        <f t="shared" si="48"/>
        <v>0.8046536224219989</v>
      </c>
      <c r="F174" s="773"/>
      <c r="G174" s="22"/>
      <c r="H174" s="22">
        <v>2853</v>
      </c>
      <c r="I174" s="770"/>
      <c r="J174" s="816"/>
      <c r="K174" s="407" t="e">
        <f t="shared" si="46"/>
        <v>#REF!</v>
      </c>
      <c r="L174" s="229" t="s">
        <v>553</v>
      </c>
      <c r="M174" s="179" t="e">
        <f>0.375*(2.34/3.43)*#REF!</f>
        <v>#REF!</v>
      </c>
      <c r="N174" s="169" t="e">
        <f t="shared" si="45"/>
        <v>#REF!</v>
      </c>
      <c r="O174" s="785"/>
      <c r="P174" s="773"/>
      <c r="Q174" s="771"/>
      <c r="R174" s="791"/>
      <c r="V174" s="38">
        <f t="shared" si="47"/>
        <v>2.1898004611316764</v>
      </c>
      <c r="W174" s="376">
        <v>0</v>
      </c>
      <c r="X174" s="42">
        <v>0</v>
      </c>
      <c r="Y174" s="393">
        <v>0</v>
      </c>
    </row>
    <row r="175" spans="1:25" ht="49.5" customHeight="1">
      <c r="A175" s="826"/>
      <c r="B175" s="39"/>
      <c r="C175" s="771"/>
      <c r="D175" s="773"/>
      <c r="E175" s="42">
        <f t="shared" si="48"/>
        <v>0.12043010752688171</v>
      </c>
      <c r="F175" s="773"/>
      <c r="G175" s="22"/>
      <c r="H175" s="22">
        <v>427</v>
      </c>
      <c r="I175" s="770"/>
      <c r="J175" s="816"/>
      <c r="K175" s="407" t="e">
        <f t="shared" si="46"/>
        <v>#REF!</v>
      </c>
      <c r="L175" s="229" t="s">
        <v>133</v>
      </c>
      <c r="M175" s="179" t="e">
        <f>0.29*(2.34/3.43)*#REF!</f>
        <v>#REF!</v>
      </c>
      <c r="N175" s="169" t="e">
        <f t="shared" si="45"/>
        <v>#REF!</v>
      </c>
      <c r="O175" s="785"/>
      <c r="P175" s="773"/>
      <c r="Q175" s="771"/>
      <c r="R175" s="791"/>
      <c r="V175" s="38">
        <f t="shared" si="47"/>
        <v>0.3277409032258064</v>
      </c>
      <c r="W175" s="376">
        <v>0</v>
      </c>
      <c r="X175" s="42">
        <v>0</v>
      </c>
      <c r="Y175" s="393">
        <v>0</v>
      </c>
    </row>
    <row r="176" spans="1:25" ht="49.5" customHeight="1">
      <c r="A176" s="826"/>
      <c r="B176" s="39"/>
      <c r="C176" s="771"/>
      <c r="D176" s="773"/>
      <c r="E176" s="42">
        <f t="shared" si="48"/>
        <v>0.028203772254539045</v>
      </c>
      <c r="F176" s="773"/>
      <c r="G176" s="22"/>
      <c r="H176" s="22">
        <v>100</v>
      </c>
      <c r="I176" s="770"/>
      <c r="J176" s="816"/>
      <c r="K176" s="407" t="e">
        <f t="shared" si="46"/>
        <v>#REF!</v>
      </c>
      <c r="L176" s="229" t="s">
        <v>133</v>
      </c>
      <c r="M176" s="179" t="e">
        <f>0.29*(2.34/3.43)*#REF!</f>
        <v>#REF!</v>
      </c>
      <c r="N176" s="169" t="e">
        <f t="shared" si="45"/>
        <v>#REF!</v>
      </c>
      <c r="O176" s="785"/>
      <c r="P176" s="773"/>
      <c r="Q176" s="771"/>
      <c r="R176" s="791"/>
      <c r="V176" s="38">
        <f t="shared" si="47"/>
        <v>0.07675430988894764</v>
      </c>
      <c r="W176" s="376">
        <v>0</v>
      </c>
      <c r="X176" s="42">
        <v>0</v>
      </c>
      <c r="Y176" s="393">
        <v>0</v>
      </c>
    </row>
    <row r="177" spans="1:25" ht="49.5" customHeight="1">
      <c r="A177" s="824"/>
      <c r="B177" s="39"/>
      <c r="C177" s="771"/>
      <c r="D177" s="773"/>
      <c r="E177" s="42">
        <f t="shared" si="48"/>
        <v>0.22027146130794995</v>
      </c>
      <c r="F177" s="773"/>
      <c r="G177" s="22"/>
      <c r="H177" s="22">
        <v>781</v>
      </c>
      <c r="I177" s="770"/>
      <c r="J177" s="815"/>
      <c r="K177" s="407" t="e">
        <f t="shared" si="46"/>
        <v>#REF!</v>
      </c>
      <c r="L177" s="229" t="s">
        <v>553</v>
      </c>
      <c r="M177" s="179" t="e">
        <f>0.375*(2.34/3.43)*#REF!</f>
        <v>#REF!</v>
      </c>
      <c r="N177" s="169" t="e">
        <f t="shared" si="45"/>
        <v>#REF!</v>
      </c>
      <c r="O177" s="785"/>
      <c r="P177" s="773"/>
      <c r="Q177" s="771"/>
      <c r="R177" s="791"/>
      <c r="V177" s="38">
        <f t="shared" si="47"/>
        <v>0.5994511602326812</v>
      </c>
      <c r="W177" s="376">
        <v>0</v>
      </c>
      <c r="X177" s="42">
        <v>0</v>
      </c>
      <c r="Y177" s="393">
        <v>0</v>
      </c>
    </row>
    <row r="178" spans="1:25" ht="49.5" customHeight="1">
      <c r="A178" s="823">
        <v>2</v>
      </c>
      <c r="B178" s="22"/>
      <c r="C178" s="771" t="s">
        <v>693</v>
      </c>
      <c r="D178" s="773">
        <v>8.1</v>
      </c>
      <c r="E178" s="42">
        <f>SUM(8.1/56893)*G178</f>
        <v>7.236225897737858</v>
      </c>
      <c r="F178" s="773">
        <v>792</v>
      </c>
      <c r="G178" s="22">
        <v>50826</v>
      </c>
      <c r="H178" s="22"/>
      <c r="I178" s="770">
        <f>SUM(G178,H179,H180,H181)</f>
        <v>56893</v>
      </c>
      <c r="J178" s="814">
        <v>792</v>
      </c>
      <c r="K178" s="407" t="e">
        <f>SUM(M178*G178)</f>
        <v>#REF!</v>
      </c>
      <c r="L178" s="229" t="s">
        <v>553</v>
      </c>
      <c r="M178" s="179" t="e">
        <f>0.375*(2.34/3.43)*#REF!</f>
        <v>#REF!</v>
      </c>
      <c r="N178" s="169" t="e">
        <f t="shared" si="45"/>
        <v>#REF!</v>
      </c>
      <c r="O178" s="785">
        <v>2.8</v>
      </c>
      <c r="P178" s="773">
        <v>4.21</v>
      </c>
      <c r="Q178" s="771">
        <v>39</v>
      </c>
      <c r="R178" s="791">
        <v>363</v>
      </c>
      <c r="V178" s="38">
        <f t="shared" si="47"/>
        <v>19.692809882621763</v>
      </c>
      <c r="W178" s="376">
        <v>0</v>
      </c>
      <c r="X178" s="42">
        <v>0</v>
      </c>
      <c r="Y178" s="393">
        <v>0</v>
      </c>
    </row>
    <row r="179" spans="1:25" ht="49.5" customHeight="1">
      <c r="A179" s="826"/>
      <c r="B179" s="22"/>
      <c r="C179" s="771"/>
      <c r="D179" s="773"/>
      <c r="E179" s="42">
        <f>SUM(8.1/56893)*H179</f>
        <v>0.5552528430562635</v>
      </c>
      <c r="F179" s="773"/>
      <c r="G179" s="22"/>
      <c r="H179" s="22">
        <v>3900</v>
      </c>
      <c r="I179" s="770"/>
      <c r="J179" s="816"/>
      <c r="K179" s="407" t="e">
        <f>SUM(M179*H179)</f>
        <v>#REF!</v>
      </c>
      <c r="L179" s="229" t="s">
        <v>553</v>
      </c>
      <c r="M179" s="179" t="e">
        <f>0.375*(2.34/3.43)*#REF!</f>
        <v>#REF!</v>
      </c>
      <c r="N179" s="169" t="e">
        <f t="shared" si="45"/>
        <v>#REF!</v>
      </c>
      <c r="O179" s="785"/>
      <c r="P179" s="773"/>
      <c r="Q179" s="771"/>
      <c r="R179" s="791"/>
      <c r="V179" s="38">
        <f t="shared" si="47"/>
        <v>1.5110761921501767</v>
      </c>
      <c r="W179" s="376">
        <v>0</v>
      </c>
      <c r="X179" s="42">
        <v>0</v>
      </c>
      <c r="Y179" s="393">
        <v>0</v>
      </c>
    </row>
    <row r="180" spans="1:25" ht="49.5" customHeight="1">
      <c r="A180" s="826"/>
      <c r="B180" s="22"/>
      <c r="C180" s="771"/>
      <c r="D180" s="773"/>
      <c r="E180" s="42">
        <f>SUM(8.1/56893)*H180</f>
        <v>0.21327404074314943</v>
      </c>
      <c r="F180" s="773"/>
      <c r="G180" s="22"/>
      <c r="H180" s="22">
        <v>1498</v>
      </c>
      <c r="I180" s="770"/>
      <c r="J180" s="816"/>
      <c r="K180" s="407" t="e">
        <f>SUM(M180*H180)</f>
        <v>#REF!</v>
      </c>
      <c r="L180" s="229" t="s">
        <v>553</v>
      </c>
      <c r="M180" s="179" t="e">
        <f>0.375*(2.34/3.43)*#REF!</f>
        <v>#REF!</v>
      </c>
      <c r="N180" s="169" t="e">
        <f t="shared" si="45"/>
        <v>#REF!</v>
      </c>
      <c r="O180" s="785"/>
      <c r="P180" s="773"/>
      <c r="Q180" s="771"/>
      <c r="R180" s="791"/>
      <c r="V180" s="38">
        <f t="shared" si="47"/>
        <v>0.5804082399592216</v>
      </c>
      <c r="W180" s="376">
        <v>0</v>
      </c>
      <c r="X180" s="42">
        <v>0</v>
      </c>
      <c r="Y180" s="393">
        <v>0</v>
      </c>
    </row>
    <row r="181" spans="1:25" ht="49.5" customHeight="1">
      <c r="A181" s="824"/>
      <c r="B181" s="22"/>
      <c r="C181" s="771"/>
      <c r="D181" s="773"/>
      <c r="E181" s="42">
        <f>SUM(8.1/56893)*H181</f>
        <v>0.09524721846272828</v>
      </c>
      <c r="F181" s="773"/>
      <c r="G181" s="22"/>
      <c r="H181" s="22">
        <v>669</v>
      </c>
      <c r="I181" s="770"/>
      <c r="J181" s="815"/>
      <c r="K181" s="407" t="e">
        <f>SUM(M181*H181)</f>
        <v>#REF!</v>
      </c>
      <c r="L181" s="229" t="s">
        <v>553</v>
      </c>
      <c r="M181" s="179" t="e">
        <f>0.375*(2.34/3.43)*#REF!</f>
        <v>#REF!</v>
      </c>
      <c r="N181" s="169" t="e">
        <f t="shared" si="45"/>
        <v>#REF!</v>
      </c>
      <c r="O181" s="785"/>
      <c r="P181" s="773"/>
      <c r="Q181" s="771"/>
      <c r="R181" s="791"/>
      <c r="V181" s="38">
        <f t="shared" si="47"/>
        <v>0.259207685268838</v>
      </c>
      <c r="W181" s="376">
        <v>0</v>
      </c>
      <c r="X181" s="42">
        <v>0</v>
      </c>
      <c r="Y181" s="393">
        <v>0</v>
      </c>
    </row>
    <row r="182" spans="1:25" ht="49.5" customHeight="1" thickBot="1">
      <c r="A182" s="173">
        <v>3</v>
      </c>
      <c r="B182" s="47"/>
      <c r="C182" s="47" t="s">
        <v>797</v>
      </c>
      <c r="D182" s="49">
        <v>3.8</v>
      </c>
      <c r="E182" s="49">
        <v>3.8</v>
      </c>
      <c r="F182" s="49">
        <v>810</v>
      </c>
      <c r="G182" s="47">
        <v>27114</v>
      </c>
      <c r="H182" s="47"/>
      <c r="I182" s="47">
        <f aca="true" t="shared" si="49" ref="I182:I193">SUM(G182+H182)</f>
        <v>27114</v>
      </c>
      <c r="J182" s="403">
        <v>810</v>
      </c>
      <c r="K182" s="411" t="e">
        <f>SUM(M182*G182)</f>
        <v>#REF!</v>
      </c>
      <c r="L182" s="232" t="s">
        <v>553</v>
      </c>
      <c r="M182" s="179" t="e">
        <f>0.375*(2.34/3.43)*#REF!</f>
        <v>#REF!</v>
      </c>
      <c r="N182" s="267" t="e">
        <f t="shared" si="45"/>
        <v>#REF!</v>
      </c>
      <c r="O182" s="377">
        <v>2.9</v>
      </c>
      <c r="P182" s="49"/>
      <c r="Q182" s="47">
        <v>34</v>
      </c>
      <c r="R182" s="386">
        <v>300</v>
      </c>
      <c r="V182" s="49">
        <f t="shared" si="47"/>
        <v>10.341396</v>
      </c>
      <c r="W182" s="377">
        <v>0</v>
      </c>
      <c r="X182" s="49">
        <v>0</v>
      </c>
      <c r="Y182" s="394">
        <v>0</v>
      </c>
    </row>
    <row r="183" spans="1:25" s="231" customFormat="1" ht="89.25" customHeight="1" thickBot="1">
      <c r="A183" s="198"/>
      <c r="B183" s="200" t="s">
        <v>799</v>
      </c>
      <c r="C183" s="200">
        <v>3</v>
      </c>
      <c r="D183" s="199">
        <f aca="true" t="shared" si="50" ref="D183:P183">SUM(D169:D182)</f>
        <v>21.5</v>
      </c>
      <c r="E183" s="199">
        <f t="shared" si="50"/>
        <v>21.49988718491098</v>
      </c>
      <c r="F183" s="199">
        <f t="shared" si="50"/>
        <v>2452</v>
      </c>
      <c r="G183" s="200">
        <f t="shared" si="50"/>
        <v>103956.6</v>
      </c>
      <c r="H183" s="200">
        <f t="shared" si="50"/>
        <v>14088</v>
      </c>
      <c r="I183" s="200">
        <f t="shared" si="50"/>
        <v>118044.6</v>
      </c>
      <c r="J183" s="404">
        <f t="shared" si="50"/>
        <v>2452</v>
      </c>
      <c r="K183" s="406" t="e">
        <f>SUM(K169:K182)</f>
        <v>#REF!</v>
      </c>
      <c r="L183" s="220"/>
      <c r="M183" s="199" t="e">
        <f>K183/I183</f>
        <v>#REF!</v>
      </c>
      <c r="N183" s="175" t="e">
        <f>SUM(N169:N182)</f>
        <v>#REF!</v>
      </c>
      <c r="O183" s="378">
        <f t="shared" si="50"/>
        <v>9.3</v>
      </c>
      <c r="P183" s="199">
        <f t="shared" si="50"/>
        <v>5.1899999999999995</v>
      </c>
      <c r="Q183" s="200">
        <f>SUM(Q182,Q178,Q169)/3</f>
        <v>42</v>
      </c>
      <c r="R183" s="387">
        <f>SUM(R182,R178,R169)</f>
        <v>1233</v>
      </c>
      <c r="V183" s="175">
        <f>SUM(V169:V182)</f>
        <v>58.51022298276044</v>
      </c>
      <c r="W183" s="378">
        <f>SUM(W169:W182)</f>
        <v>3.6</v>
      </c>
      <c r="X183" s="199">
        <f>SUM(X169:X182)</f>
        <v>53</v>
      </c>
      <c r="Y183" s="395">
        <f>SUM(Y169:Y182)</f>
        <v>570</v>
      </c>
    </row>
    <row r="184" spans="1:25" s="231" customFormat="1" ht="89.25" customHeight="1">
      <c r="A184" s="221"/>
      <c r="B184" s="223" t="s">
        <v>457</v>
      </c>
      <c r="C184" s="223"/>
      <c r="D184" s="222"/>
      <c r="E184" s="222"/>
      <c r="F184" s="222"/>
      <c r="G184" s="223"/>
      <c r="H184" s="223"/>
      <c r="I184" s="223"/>
      <c r="J184" s="409"/>
      <c r="K184" s="410"/>
      <c r="L184" s="151"/>
      <c r="M184" s="197"/>
      <c r="N184" s="197"/>
      <c r="O184" s="382"/>
      <c r="P184" s="222"/>
      <c r="Q184" s="223"/>
      <c r="R184" s="389"/>
      <c r="V184" s="222"/>
      <c r="W184" s="382"/>
      <c r="X184" s="222"/>
      <c r="Y184" s="398"/>
    </row>
    <row r="185" spans="1:25" ht="49.5" customHeight="1">
      <c r="A185" s="178">
        <v>1</v>
      </c>
      <c r="B185" s="247"/>
      <c r="C185" s="22" t="s">
        <v>689</v>
      </c>
      <c r="D185" s="42">
        <v>1.3</v>
      </c>
      <c r="E185" s="42">
        <v>1.3</v>
      </c>
      <c r="F185" s="42">
        <f>E185*'рабочая не печать '!$D$63</f>
        <v>274.7821904903565</v>
      </c>
      <c r="G185" s="22"/>
      <c r="H185" s="22">
        <v>1425</v>
      </c>
      <c r="I185" s="39">
        <f t="shared" si="49"/>
        <v>1425</v>
      </c>
      <c r="J185" s="402">
        <v>274.78</v>
      </c>
      <c r="K185" s="407" t="e">
        <f aca="true" t="shared" si="51" ref="K185:K193">SUM(M185*I185)</f>
        <v>#REF!</v>
      </c>
      <c r="L185" s="232" t="s">
        <v>553</v>
      </c>
      <c r="M185" s="179" t="e">
        <f>0.375*(2.34/3.43)*#REF!</f>
        <v>#REF!</v>
      </c>
      <c r="N185" s="169" t="e">
        <f aca="true" t="shared" si="52" ref="N185:N216">SUM(K185*0.05)</f>
        <v>#REF!</v>
      </c>
      <c r="O185" s="376">
        <f>'рабочая не печать '!$K$63</f>
        <v>2.2303703703703697</v>
      </c>
      <c r="P185" s="42"/>
      <c r="Q185" s="22">
        <f>'рабочая не печать '!$M$61</f>
        <v>51.25925925925926</v>
      </c>
      <c r="R185" s="385">
        <f>O185*'рабочая не печать '!$N$63</f>
        <v>209.48148148148147</v>
      </c>
      <c r="V185" s="38">
        <f>SUM(E185*2.34*1.163)</f>
        <v>3.537846</v>
      </c>
      <c r="W185" s="376">
        <v>0</v>
      </c>
      <c r="X185" s="42">
        <v>0</v>
      </c>
      <c r="Y185" s="393">
        <v>0</v>
      </c>
    </row>
    <row r="186" spans="1:25" ht="49.5" customHeight="1">
      <c r="A186" s="178">
        <v>2</v>
      </c>
      <c r="B186" s="22"/>
      <c r="C186" s="22" t="s">
        <v>689</v>
      </c>
      <c r="D186" s="42">
        <v>0.92</v>
      </c>
      <c r="E186" s="42">
        <v>0.92</v>
      </c>
      <c r="F186" s="42">
        <f>E186*'рабочая не печать '!$D$63</f>
        <v>194.4612425008677</v>
      </c>
      <c r="G186" s="22"/>
      <c r="H186" s="22">
        <v>2205</v>
      </c>
      <c r="I186" s="39">
        <f t="shared" si="49"/>
        <v>2205</v>
      </c>
      <c r="J186" s="402">
        <v>194.46</v>
      </c>
      <c r="K186" s="407" t="e">
        <f t="shared" si="51"/>
        <v>#REF!</v>
      </c>
      <c r="L186" s="232" t="s">
        <v>553</v>
      </c>
      <c r="M186" s="179" t="e">
        <f>0.375*(2.34/3.43)*#REF!</f>
        <v>#REF!</v>
      </c>
      <c r="N186" s="169" t="e">
        <f t="shared" si="52"/>
        <v>#REF!</v>
      </c>
      <c r="O186" s="376">
        <f>'рабочая не печать '!$K$63</f>
        <v>2.2303703703703697</v>
      </c>
      <c r="P186" s="42"/>
      <c r="Q186" s="22">
        <f>'рабочая не печать '!$M$61</f>
        <v>51.25925925925926</v>
      </c>
      <c r="R186" s="385">
        <f>O186*'рабочая не печать '!$N$63</f>
        <v>209.48148148148147</v>
      </c>
      <c r="V186" s="38">
        <f aca="true" t="shared" si="53" ref="V186:V242">SUM(E186*2.34*1.163)</f>
        <v>2.5037064</v>
      </c>
      <c r="W186" s="376">
        <v>0</v>
      </c>
      <c r="X186" s="42">
        <v>0</v>
      </c>
      <c r="Y186" s="393">
        <v>0</v>
      </c>
    </row>
    <row r="187" spans="1:25" ht="49.5" customHeight="1">
      <c r="A187" s="178">
        <v>3</v>
      </c>
      <c r="B187" s="22"/>
      <c r="C187" s="22" t="s">
        <v>107</v>
      </c>
      <c r="D187" s="42">
        <v>1.3</v>
      </c>
      <c r="E187" s="42">
        <v>1.3</v>
      </c>
      <c r="F187" s="42">
        <f>E187*'рабочая не печать '!$D$63</f>
        <v>274.7821904903565</v>
      </c>
      <c r="G187" s="22"/>
      <c r="H187" s="22">
        <v>2381</v>
      </c>
      <c r="I187" s="39">
        <f t="shared" si="49"/>
        <v>2381</v>
      </c>
      <c r="J187" s="402">
        <v>274.78</v>
      </c>
      <c r="K187" s="407" t="e">
        <f t="shared" si="51"/>
        <v>#REF!</v>
      </c>
      <c r="L187" s="232" t="s">
        <v>553</v>
      </c>
      <c r="M187" s="179" t="e">
        <f>0.375*(2.34/3.43)*#REF!</f>
        <v>#REF!</v>
      </c>
      <c r="N187" s="169" t="e">
        <f t="shared" si="52"/>
        <v>#REF!</v>
      </c>
      <c r="O187" s="376">
        <f>'рабочая не печать '!$K$63</f>
        <v>2.2303703703703697</v>
      </c>
      <c r="P187" s="42"/>
      <c r="Q187" s="22">
        <f>'рабочая не печать '!$M$61</f>
        <v>51.25925925925926</v>
      </c>
      <c r="R187" s="385">
        <f>O187*'рабочая не печать '!$N$63</f>
        <v>209.48148148148147</v>
      </c>
      <c r="V187" s="38">
        <f t="shared" si="53"/>
        <v>3.537846</v>
      </c>
      <c r="W187" s="376">
        <v>0</v>
      </c>
      <c r="X187" s="42">
        <v>0</v>
      </c>
      <c r="Y187" s="393">
        <v>0</v>
      </c>
    </row>
    <row r="188" spans="1:25" ht="49.5" customHeight="1">
      <c r="A188" s="178">
        <v>4</v>
      </c>
      <c r="B188" s="22"/>
      <c r="C188" s="22" t="s">
        <v>108</v>
      </c>
      <c r="D188" s="42">
        <v>2.1</v>
      </c>
      <c r="E188" s="42">
        <v>2.1</v>
      </c>
      <c r="F188" s="42">
        <f>E188*'рабочая не печать '!$D$63</f>
        <v>443.8789230998067</v>
      </c>
      <c r="G188" s="22"/>
      <c r="H188" s="22">
        <v>2911</v>
      </c>
      <c r="I188" s="39">
        <f t="shared" si="49"/>
        <v>2911</v>
      </c>
      <c r="J188" s="402">
        <v>443.88</v>
      </c>
      <c r="K188" s="407" t="e">
        <f t="shared" si="51"/>
        <v>#REF!</v>
      </c>
      <c r="L188" s="232" t="s">
        <v>553</v>
      </c>
      <c r="M188" s="179" t="e">
        <f>0.375*(2.34/3.43)*#REF!</f>
        <v>#REF!</v>
      </c>
      <c r="N188" s="169" t="e">
        <f t="shared" si="52"/>
        <v>#REF!</v>
      </c>
      <c r="O188" s="376">
        <f>'рабочая не печать '!$K$63</f>
        <v>2.2303703703703697</v>
      </c>
      <c r="P188" s="42"/>
      <c r="Q188" s="22">
        <f>'рабочая не печать '!$M$61</f>
        <v>51.25925925925926</v>
      </c>
      <c r="R188" s="385">
        <f>O188*'рабочая не печать '!$N$63</f>
        <v>209.48148148148147</v>
      </c>
      <c r="V188" s="38">
        <f t="shared" si="53"/>
        <v>5.714982</v>
      </c>
      <c r="W188" s="376">
        <v>0</v>
      </c>
      <c r="X188" s="42">
        <v>0</v>
      </c>
      <c r="Y188" s="393">
        <v>0</v>
      </c>
    </row>
    <row r="189" spans="1:25" ht="49.5" customHeight="1">
      <c r="A189" s="178">
        <v>5</v>
      </c>
      <c r="B189" s="22"/>
      <c r="C189" s="22" t="s">
        <v>435</v>
      </c>
      <c r="D189" s="42">
        <v>1.3</v>
      </c>
      <c r="E189" s="42">
        <v>1.3</v>
      </c>
      <c r="F189" s="42">
        <f>E189*'рабочая не печать '!$D$63</f>
        <v>274.7821904903565</v>
      </c>
      <c r="G189" s="22"/>
      <c r="H189" s="22">
        <v>2364</v>
      </c>
      <c r="I189" s="39">
        <f t="shared" si="49"/>
        <v>2364</v>
      </c>
      <c r="J189" s="402">
        <v>274.78</v>
      </c>
      <c r="K189" s="407" t="e">
        <f t="shared" si="51"/>
        <v>#REF!</v>
      </c>
      <c r="L189" s="232" t="s">
        <v>553</v>
      </c>
      <c r="M189" s="179" t="e">
        <f>0.375*(2.34/3.43)*#REF!</f>
        <v>#REF!</v>
      </c>
      <c r="N189" s="169" t="e">
        <f t="shared" si="52"/>
        <v>#REF!</v>
      </c>
      <c r="O189" s="376">
        <f>'рабочая не печать '!$K$63</f>
        <v>2.2303703703703697</v>
      </c>
      <c r="P189" s="42"/>
      <c r="Q189" s="22">
        <f>'рабочая не печать '!$M$61</f>
        <v>51.25925925925926</v>
      </c>
      <c r="R189" s="385">
        <f>O189*'рабочая не печать '!$N$63</f>
        <v>209.48148148148147</v>
      </c>
      <c r="V189" s="38">
        <f t="shared" si="53"/>
        <v>3.537846</v>
      </c>
      <c r="W189" s="376">
        <v>0</v>
      </c>
      <c r="X189" s="42">
        <v>0</v>
      </c>
      <c r="Y189" s="393">
        <v>0</v>
      </c>
    </row>
    <row r="190" spans="1:25" ht="49.5" customHeight="1">
      <c r="A190" s="178">
        <v>6</v>
      </c>
      <c r="B190" s="22"/>
      <c r="C190" s="22" t="s">
        <v>689</v>
      </c>
      <c r="D190" s="42">
        <v>1.3</v>
      </c>
      <c r="E190" s="42">
        <v>1.3</v>
      </c>
      <c r="F190" s="42">
        <f>E190*'рабочая не печать '!$D$63</f>
        <v>274.7821904903565</v>
      </c>
      <c r="G190" s="22"/>
      <c r="H190" s="22">
        <v>436</v>
      </c>
      <c r="I190" s="39">
        <f t="shared" si="49"/>
        <v>436</v>
      </c>
      <c r="J190" s="402">
        <v>274.78</v>
      </c>
      <c r="K190" s="407" t="e">
        <f t="shared" si="51"/>
        <v>#REF!</v>
      </c>
      <c r="L190" s="232" t="s">
        <v>553</v>
      </c>
      <c r="M190" s="179" t="e">
        <f>0.375*(2.34/3.43)*#REF!</f>
        <v>#REF!</v>
      </c>
      <c r="N190" s="169" t="e">
        <f t="shared" si="52"/>
        <v>#REF!</v>
      </c>
      <c r="O190" s="376">
        <f>'рабочая не печать '!$K$63</f>
        <v>2.2303703703703697</v>
      </c>
      <c r="P190" s="42"/>
      <c r="Q190" s="22">
        <f>'рабочая не печать '!$M$61</f>
        <v>51.25925925925926</v>
      </c>
      <c r="R190" s="385">
        <f>O190*'рабочая не печать '!$N$63</f>
        <v>209.48148148148147</v>
      </c>
      <c r="V190" s="38">
        <f t="shared" si="53"/>
        <v>3.537846</v>
      </c>
      <c r="W190" s="376">
        <v>0</v>
      </c>
      <c r="X190" s="42">
        <v>0</v>
      </c>
      <c r="Y190" s="393">
        <v>0</v>
      </c>
    </row>
    <row r="191" spans="1:25" ht="49.5" customHeight="1">
      <c r="A191" s="178">
        <v>7</v>
      </c>
      <c r="B191" s="22"/>
      <c r="C191" s="22" t="s">
        <v>689</v>
      </c>
      <c r="D191" s="42">
        <v>0.65</v>
      </c>
      <c r="E191" s="42">
        <v>0.65</v>
      </c>
      <c r="F191" s="42">
        <f>E191*'рабочая не печать '!$D$63</f>
        <v>137.39109524517826</v>
      </c>
      <c r="G191" s="22"/>
      <c r="H191" s="22">
        <v>456</v>
      </c>
      <c r="I191" s="39">
        <f t="shared" si="49"/>
        <v>456</v>
      </c>
      <c r="J191" s="402">
        <v>137.39</v>
      </c>
      <c r="K191" s="407" t="e">
        <f t="shared" si="51"/>
        <v>#REF!</v>
      </c>
      <c r="L191" s="232" t="s">
        <v>553</v>
      </c>
      <c r="M191" s="179" t="e">
        <f>0.375*(2.34/3.43)*#REF!</f>
        <v>#REF!</v>
      </c>
      <c r="N191" s="169" t="e">
        <f t="shared" si="52"/>
        <v>#REF!</v>
      </c>
      <c r="O191" s="376">
        <f>'рабочая не печать '!$K$63</f>
        <v>2.2303703703703697</v>
      </c>
      <c r="P191" s="42"/>
      <c r="Q191" s="22">
        <f>'рабочая не печать '!$M$61</f>
        <v>51.25925925925926</v>
      </c>
      <c r="R191" s="385">
        <f>O191*'рабочая не печать '!$N$63</f>
        <v>209.48148148148147</v>
      </c>
      <c r="V191" s="38">
        <f t="shared" si="53"/>
        <v>1.768923</v>
      </c>
      <c r="W191" s="376">
        <v>0</v>
      </c>
      <c r="X191" s="42">
        <v>0</v>
      </c>
      <c r="Y191" s="393">
        <v>0</v>
      </c>
    </row>
    <row r="192" spans="1:25" ht="49.5" customHeight="1">
      <c r="A192" s="178">
        <v>8</v>
      </c>
      <c r="B192" s="22"/>
      <c r="C192" s="22" t="s">
        <v>689</v>
      </c>
      <c r="D192" s="42">
        <v>1.3</v>
      </c>
      <c r="E192" s="42">
        <v>1.3</v>
      </c>
      <c r="F192" s="42">
        <f>E192*'рабочая не печать '!$D$63</f>
        <v>274.7821904903565</v>
      </c>
      <c r="G192" s="22"/>
      <c r="H192" s="22">
        <v>756</v>
      </c>
      <c r="I192" s="39">
        <f t="shared" si="49"/>
        <v>756</v>
      </c>
      <c r="J192" s="402">
        <v>274.78</v>
      </c>
      <c r="K192" s="407" t="e">
        <f t="shared" si="51"/>
        <v>#REF!</v>
      </c>
      <c r="L192" s="232" t="s">
        <v>553</v>
      </c>
      <c r="M192" s="179" t="e">
        <f>0.375*(2.34/3.43)*#REF!</f>
        <v>#REF!</v>
      </c>
      <c r="N192" s="169" t="e">
        <f t="shared" si="52"/>
        <v>#REF!</v>
      </c>
      <c r="O192" s="376">
        <f>'рабочая не печать '!$K$63</f>
        <v>2.2303703703703697</v>
      </c>
      <c r="P192" s="42"/>
      <c r="Q192" s="22">
        <f>'рабочая не печать '!$M$61</f>
        <v>51.25925925925926</v>
      </c>
      <c r="R192" s="385">
        <f>O192*'рабочая не печать '!$N$63</f>
        <v>209.48148148148147</v>
      </c>
      <c r="V192" s="38">
        <f t="shared" si="53"/>
        <v>3.537846</v>
      </c>
      <c r="W192" s="376">
        <v>0</v>
      </c>
      <c r="X192" s="42">
        <v>0</v>
      </c>
      <c r="Y192" s="393">
        <v>0</v>
      </c>
    </row>
    <row r="193" spans="1:25" ht="61.5" customHeight="1">
      <c r="A193" s="178">
        <v>9</v>
      </c>
      <c r="B193" s="22"/>
      <c r="C193" s="22" t="s">
        <v>128</v>
      </c>
      <c r="D193" s="42">
        <v>15</v>
      </c>
      <c r="E193" s="42">
        <v>15</v>
      </c>
      <c r="F193" s="42">
        <f>E193*'рабочая не печать '!$D$63</f>
        <v>3170.5637364271906</v>
      </c>
      <c r="G193" s="22">
        <v>149906</v>
      </c>
      <c r="H193" s="22"/>
      <c r="I193" s="39">
        <f t="shared" si="49"/>
        <v>149906</v>
      </c>
      <c r="J193" s="402">
        <v>3170.56</v>
      </c>
      <c r="K193" s="407" t="e">
        <f t="shared" si="51"/>
        <v>#REF!</v>
      </c>
      <c r="L193" s="229" t="s">
        <v>133</v>
      </c>
      <c r="M193" s="179" t="e">
        <f>0.29*(2.34/3.43)*#REF!</f>
        <v>#REF!</v>
      </c>
      <c r="N193" s="169" t="e">
        <f t="shared" si="52"/>
        <v>#REF!</v>
      </c>
      <c r="O193" s="376">
        <f>'рабочая не печать '!$K$63</f>
        <v>2.2303703703703697</v>
      </c>
      <c r="P193" s="42"/>
      <c r="Q193" s="22">
        <f>'рабочая не печать '!$M$61</f>
        <v>51.25925925925926</v>
      </c>
      <c r="R193" s="385">
        <f>O193*'рабочая не печать '!$N$63</f>
        <v>209.48148148148147</v>
      </c>
      <c r="V193" s="38">
        <f t="shared" si="53"/>
        <v>40.821299999999994</v>
      </c>
      <c r="W193" s="376">
        <v>0</v>
      </c>
      <c r="X193" s="42">
        <v>0</v>
      </c>
      <c r="Y193" s="393">
        <v>0</v>
      </c>
    </row>
    <row r="194" spans="1:25" ht="49.5" customHeight="1">
      <c r="A194" s="823">
        <v>10</v>
      </c>
      <c r="B194" s="22"/>
      <c r="C194" s="771" t="s">
        <v>734</v>
      </c>
      <c r="D194" s="773">
        <v>3.5</v>
      </c>
      <c r="E194" s="42">
        <f>SUM(3.5/75081)*H194</f>
        <v>2.6369454322664856</v>
      </c>
      <c r="F194" s="774">
        <f>D194*'рабочая не печать '!$D$63</f>
        <v>739.7982051663445</v>
      </c>
      <c r="G194" s="22">
        <v>0</v>
      </c>
      <c r="H194" s="22">
        <v>56567</v>
      </c>
      <c r="I194" s="770">
        <f>SUM(H194:H211)</f>
        <v>75081</v>
      </c>
      <c r="J194" s="814">
        <v>739.8</v>
      </c>
      <c r="K194" s="407" t="e">
        <f aca="true" t="shared" si="54" ref="K194:K211">SUM(M194*H194)</f>
        <v>#REF!</v>
      </c>
      <c r="L194" s="229" t="s">
        <v>133</v>
      </c>
      <c r="M194" s="179" t="e">
        <f>0.29*(2.34/3.43)*#REF!</f>
        <v>#REF!</v>
      </c>
      <c r="N194" s="169" t="e">
        <f t="shared" si="52"/>
        <v>#REF!</v>
      </c>
      <c r="O194" s="376">
        <f>'рабочая не печать '!$K$63</f>
        <v>2.2303703703703697</v>
      </c>
      <c r="P194" s="42"/>
      <c r="Q194" s="22">
        <f>'рабочая не печать '!$M$61</f>
        <v>51.25925925925926</v>
      </c>
      <c r="R194" s="385">
        <f>O194*'рабочая не печать '!$N$63</f>
        <v>209.48148148148147</v>
      </c>
      <c r="V194" s="38">
        <f t="shared" si="53"/>
        <v>7.176236038278659</v>
      </c>
      <c r="W194" s="376">
        <v>0</v>
      </c>
      <c r="X194" s="42">
        <v>0</v>
      </c>
      <c r="Y194" s="393">
        <v>0</v>
      </c>
    </row>
    <row r="195" spans="1:25" ht="49.5" customHeight="1">
      <c r="A195" s="841"/>
      <c r="B195" s="22"/>
      <c r="C195" s="771"/>
      <c r="D195" s="773"/>
      <c r="E195" s="42">
        <f aca="true" t="shared" si="55" ref="E195:E211">SUM(3.5/75081)*H195</f>
        <v>0.05458771193777387</v>
      </c>
      <c r="F195" s="809"/>
      <c r="G195" s="22">
        <v>0</v>
      </c>
      <c r="H195" s="22">
        <v>1171</v>
      </c>
      <c r="I195" s="770"/>
      <c r="J195" s="816"/>
      <c r="K195" s="407" t="e">
        <f t="shared" si="54"/>
        <v>#REF!</v>
      </c>
      <c r="L195" s="229" t="s">
        <v>133</v>
      </c>
      <c r="M195" s="179" t="e">
        <f>0.29*(2.34/3.43)*#REF!</f>
        <v>#REF!</v>
      </c>
      <c r="N195" s="169" t="e">
        <f t="shared" si="52"/>
        <v>#REF!</v>
      </c>
      <c r="O195" s="376">
        <f>'рабочая не печать '!$K$63</f>
        <v>2.2303703703703697</v>
      </c>
      <c r="P195" s="42"/>
      <c r="Q195" s="22">
        <f>'рабочая не печать '!$M$61</f>
        <v>51.25925925925926</v>
      </c>
      <c r="R195" s="385">
        <f>O195*'рабочая не печать '!$N$63</f>
        <v>209.48148148148147</v>
      </c>
      <c r="V195" s="38">
        <f t="shared" si="53"/>
        <v>0.14855609102169656</v>
      </c>
      <c r="W195" s="376">
        <v>0</v>
      </c>
      <c r="X195" s="42">
        <v>0</v>
      </c>
      <c r="Y195" s="393">
        <v>0</v>
      </c>
    </row>
    <row r="196" spans="1:25" ht="49.5" customHeight="1">
      <c r="A196" s="841"/>
      <c r="B196" s="22"/>
      <c r="C196" s="771"/>
      <c r="D196" s="773"/>
      <c r="E196" s="42">
        <f t="shared" si="55"/>
        <v>0.16851800055939584</v>
      </c>
      <c r="F196" s="809"/>
      <c r="G196" s="22">
        <v>0</v>
      </c>
      <c r="H196" s="22">
        <v>3615</v>
      </c>
      <c r="I196" s="770"/>
      <c r="J196" s="816"/>
      <c r="K196" s="407" t="e">
        <f t="shared" si="54"/>
        <v>#REF!</v>
      </c>
      <c r="L196" s="229" t="s">
        <v>133</v>
      </c>
      <c r="M196" s="179" t="e">
        <f>0.29*(2.34/3.43)*#REF!</f>
        <v>#REF!</v>
      </c>
      <c r="N196" s="169" t="e">
        <f t="shared" si="52"/>
        <v>#REF!</v>
      </c>
      <c r="O196" s="376">
        <f>'рабочая не печать '!$K$63</f>
        <v>2.2303703703703697</v>
      </c>
      <c r="P196" s="42"/>
      <c r="Q196" s="22">
        <f>'рабочая не печать '!$M$61</f>
        <v>51.25925925925926</v>
      </c>
      <c r="R196" s="385">
        <f>O196*'рабочая не печать '!$N$63</f>
        <v>209.48148148148147</v>
      </c>
      <c r="V196" s="38">
        <f t="shared" si="53"/>
        <v>0.458608257082351</v>
      </c>
      <c r="W196" s="376">
        <v>0</v>
      </c>
      <c r="X196" s="42">
        <v>0</v>
      </c>
      <c r="Y196" s="393">
        <v>0</v>
      </c>
    </row>
    <row r="197" spans="1:25" ht="49.5" customHeight="1">
      <c r="A197" s="841"/>
      <c r="B197" s="22"/>
      <c r="C197" s="771"/>
      <c r="D197" s="773"/>
      <c r="E197" s="42">
        <f t="shared" si="55"/>
        <v>0.030860004528442616</v>
      </c>
      <c r="F197" s="809"/>
      <c r="G197" s="22">
        <v>0</v>
      </c>
      <c r="H197" s="22">
        <v>662</v>
      </c>
      <c r="I197" s="770"/>
      <c r="J197" s="816"/>
      <c r="K197" s="407" t="e">
        <f t="shared" si="54"/>
        <v>#REF!</v>
      </c>
      <c r="L197" s="229" t="s">
        <v>133</v>
      </c>
      <c r="M197" s="179" t="e">
        <f>0.29*(2.34/3.43)*#REF!</f>
        <v>#REF!</v>
      </c>
      <c r="N197" s="169" t="e">
        <f t="shared" si="52"/>
        <v>#REF!</v>
      </c>
      <c r="O197" s="376">
        <f>'рабочая не печать '!$K$63</f>
        <v>2.2303703703703697</v>
      </c>
      <c r="P197" s="42"/>
      <c r="Q197" s="22">
        <f>'рабочая не печать '!$M$61</f>
        <v>51.25925925925926</v>
      </c>
      <c r="R197" s="385">
        <f>O197*'рабочая не печать '!$N$63</f>
        <v>209.48148148148147</v>
      </c>
      <c r="V197" s="38">
        <f t="shared" si="53"/>
        <v>0.0839830335237943</v>
      </c>
      <c r="W197" s="376">
        <v>0</v>
      </c>
      <c r="X197" s="42">
        <v>0</v>
      </c>
      <c r="Y197" s="393">
        <v>0</v>
      </c>
    </row>
    <row r="198" spans="1:25" ht="49.5" customHeight="1">
      <c r="A198" s="841"/>
      <c r="B198" s="22"/>
      <c r="C198" s="771"/>
      <c r="D198" s="773"/>
      <c r="E198" s="42">
        <f t="shared" si="55"/>
        <v>0.050159161438979236</v>
      </c>
      <c r="F198" s="809"/>
      <c r="G198" s="22">
        <v>0</v>
      </c>
      <c r="H198" s="22">
        <v>1076</v>
      </c>
      <c r="I198" s="770"/>
      <c r="J198" s="816"/>
      <c r="K198" s="407" t="e">
        <f t="shared" si="54"/>
        <v>#REF!</v>
      </c>
      <c r="L198" s="229" t="s">
        <v>133</v>
      </c>
      <c r="M198" s="179" t="e">
        <f>0.29*(2.34/3.43)*#REF!</f>
        <v>#REF!</v>
      </c>
      <c r="N198" s="169" t="e">
        <f t="shared" si="52"/>
        <v>#REF!</v>
      </c>
      <c r="O198" s="376">
        <f>'рабочая не печать '!$K$63</f>
        <v>2.2303703703703697</v>
      </c>
      <c r="P198" s="42"/>
      <c r="Q198" s="22">
        <f>'рабочая не печать '!$M$61</f>
        <v>51.25925925925926</v>
      </c>
      <c r="R198" s="385">
        <f>O198*'рабочая не печать '!$N$63</f>
        <v>209.48148148148147</v>
      </c>
      <c r="V198" s="38">
        <f t="shared" si="53"/>
        <v>0.13650414512326686</v>
      </c>
      <c r="W198" s="376">
        <v>0</v>
      </c>
      <c r="X198" s="42">
        <v>0</v>
      </c>
      <c r="Y198" s="393">
        <v>0</v>
      </c>
    </row>
    <row r="199" spans="1:25" ht="49.5" customHeight="1">
      <c r="A199" s="841"/>
      <c r="B199" s="22"/>
      <c r="C199" s="771"/>
      <c r="D199" s="773"/>
      <c r="E199" s="42">
        <f t="shared" si="55"/>
        <v>0.05211704692265686</v>
      </c>
      <c r="F199" s="809"/>
      <c r="G199" s="22">
        <v>0</v>
      </c>
      <c r="H199" s="22">
        <v>1118</v>
      </c>
      <c r="I199" s="770"/>
      <c r="J199" s="816"/>
      <c r="K199" s="407" t="e">
        <f t="shared" si="54"/>
        <v>#REF!</v>
      </c>
      <c r="L199" s="229" t="s">
        <v>133</v>
      </c>
      <c r="M199" s="179" t="e">
        <f>0.29*(2.34/3.43)*#REF!</f>
        <v>#REF!</v>
      </c>
      <c r="N199" s="169" t="e">
        <f t="shared" si="52"/>
        <v>#REF!</v>
      </c>
      <c r="O199" s="376">
        <f>'рабочая не печать '!$K$63</f>
        <v>2.2303703703703697</v>
      </c>
      <c r="P199" s="42"/>
      <c r="Q199" s="22">
        <f>'рабочая не печать '!$M$61</f>
        <v>51.25925925925926</v>
      </c>
      <c r="R199" s="385">
        <f>O199*'рабочая не печать '!$N$63</f>
        <v>209.48148148148147</v>
      </c>
      <c r="V199" s="38">
        <f t="shared" si="53"/>
        <v>0.14183237383625683</v>
      </c>
      <c r="W199" s="376">
        <v>0</v>
      </c>
      <c r="X199" s="42">
        <v>0</v>
      </c>
      <c r="Y199" s="393">
        <v>0</v>
      </c>
    </row>
    <row r="200" spans="1:25" ht="49.5" customHeight="1">
      <c r="A200" s="841"/>
      <c r="B200" s="22"/>
      <c r="C200" s="771"/>
      <c r="D200" s="773"/>
      <c r="E200" s="42">
        <f t="shared" si="55"/>
        <v>0.02950813121828425</v>
      </c>
      <c r="F200" s="809"/>
      <c r="G200" s="22">
        <v>0</v>
      </c>
      <c r="H200" s="22">
        <v>633</v>
      </c>
      <c r="I200" s="770"/>
      <c r="J200" s="816"/>
      <c r="K200" s="407" t="e">
        <f t="shared" si="54"/>
        <v>#REF!</v>
      </c>
      <c r="L200" s="229" t="s">
        <v>133</v>
      </c>
      <c r="M200" s="179" t="e">
        <f>0.29*(2.34/3.43)*#REF!</f>
        <v>#REF!</v>
      </c>
      <c r="N200" s="169" t="e">
        <f t="shared" si="52"/>
        <v>#REF!</v>
      </c>
      <c r="O200" s="376">
        <f>'рабочая не печать '!$K$63</f>
        <v>2.2303703703703697</v>
      </c>
      <c r="P200" s="42"/>
      <c r="Q200" s="22">
        <f>'рабочая не печать '!$M$61</f>
        <v>51.25925925925926</v>
      </c>
      <c r="R200" s="385">
        <f>O200*'рабочая не печать '!$N$63</f>
        <v>209.48148148148147</v>
      </c>
      <c r="V200" s="38">
        <f t="shared" si="53"/>
        <v>0.08030401846006312</v>
      </c>
      <c r="W200" s="376">
        <v>0</v>
      </c>
      <c r="X200" s="42">
        <v>0</v>
      </c>
      <c r="Y200" s="393">
        <v>0</v>
      </c>
    </row>
    <row r="201" spans="1:25" ht="49.5" customHeight="1">
      <c r="A201" s="841"/>
      <c r="B201" s="22"/>
      <c r="C201" s="771"/>
      <c r="D201" s="773"/>
      <c r="E201" s="42">
        <f t="shared" si="55"/>
        <v>0.041721607330749456</v>
      </c>
      <c r="F201" s="809"/>
      <c r="G201" s="22">
        <v>0</v>
      </c>
      <c r="H201" s="22">
        <v>895</v>
      </c>
      <c r="I201" s="770"/>
      <c r="J201" s="816"/>
      <c r="K201" s="407" t="e">
        <f t="shared" si="54"/>
        <v>#REF!</v>
      </c>
      <c r="L201" s="229" t="s">
        <v>133</v>
      </c>
      <c r="M201" s="179" t="e">
        <f>0.29*(2.34/3.43)*#REF!</f>
        <v>#REF!</v>
      </c>
      <c r="N201" s="169" t="e">
        <f t="shared" si="52"/>
        <v>#REF!</v>
      </c>
      <c r="O201" s="376">
        <f>'рабочая не печать '!$K$63</f>
        <v>2.2303703703703697</v>
      </c>
      <c r="P201" s="42"/>
      <c r="Q201" s="22">
        <f>'рабочая не печать '!$M$61</f>
        <v>51.25925925925926</v>
      </c>
      <c r="R201" s="385">
        <f>O201*'рабочая не печать '!$N$63</f>
        <v>209.48148148148147</v>
      </c>
      <c r="V201" s="38">
        <f t="shared" si="53"/>
        <v>0.11354201662204819</v>
      </c>
      <c r="W201" s="376">
        <v>0</v>
      </c>
      <c r="X201" s="42">
        <v>0</v>
      </c>
      <c r="Y201" s="393">
        <v>0</v>
      </c>
    </row>
    <row r="202" spans="1:25" ht="49.5" customHeight="1">
      <c r="A202" s="841"/>
      <c r="B202" s="22"/>
      <c r="C202" s="771"/>
      <c r="D202" s="773"/>
      <c r="E202" s="42">
        <f t="shared" si="55"/>
        <v>0.0806462353991023</v>
      </c>
      <c r="F202" s="809"/>
      <c r="G202" s="22">
        <v>0</v>
      </c>
      <c r="H202" s="22">
        <v>1730</v>
      </c>
      <c r="I202" s="770"/>
      <c r="J202" s="816"/>
      <c r="K202" s="407" t="e">
        <f t="shared" si="54"/>
        <v>#REF!</v>
      </c>
      <c r="L202" s="229" t="s">
        <v>133</v>
      </c>
      <c r="M202" s="179" t="e">
        <f>0.29*(2.34/3.43)*#REF!</f>
        <v>#REF!</v>
      </c>
      <c r="N202" s="169" t="e">
        <f t="shared" si="52"/>
        <v>#REF!</v>
      </c>
      <c r="O202" s="376">
        <f>'рабочая не печать '!$K$63</f>
        <v>2.2303703703703697</v>
      </c>
      <c r="P202" s="42"/>
      <c r="Q202" s="22">
        <f>'рабочая не печать '!$M$61</f>
        <v>51.25925925925926</v>
      </c>
      <c r="R202" s="385">
        <f>O202*'рабочая не печать '!$N$63</f>
        <v>209.48148148148147</v>
      </c>
      <c r="V202" s="38">
        <f t="shared" si="53"/>
        <v>0.21947227793982496</v>
      </c>
      <c r="W202" s="376">
        <v>0</v>
      </c>
      <c r="X202" s="42">
        <v>0</v>
      </c>
      <c r="Y202" s="393">
        <v>0</v>
      </c>
    </row>
    <row r="203" spans="1:25" ht="49.5" customHeight="1">
      <c r="A203" s="841"/>
      <c r="B203" s="22"/>
      <c r="C203" s="771"/>
      <c r="D203" s="773"/>
      <c r="E203" s="42">
        <f t="shared" si="55"/>
        <v>0.035195322385157365</v>
      </c>
      <c r="F203" s="809"/>
      <c r="G203" s="22">
        <v>0</v>
      </c>
      <c r="H203" s="22">
        <v>755</v>
      </c>
      <c r="I203" s="770"/>
      <c r="J203" s="816"/>
      <c r="K203" s="407" t="e">
        <f t="shared" si="54"/>
        <v>#REF!</v>
      </c>
      <c r="L203" s="229" t="s">
        <v>133</v>
      </c>
      <c r="M203" s="179" t="e">
        <f>0.29*(2.34/3.43)*#REF!</f>
        <v>#REF!</v>
      </c>
      <c r="N203" s="169" t="e">
        <f t="shared" si="52"/>
        <v>#REF!</v>
      </c>
      <c r="O203" s="376">
        <f>'рабочая не печать '!$K$63</f>
        <v>2.2303703703703697</v>
      </c>
      <c r="P203" s="42"/>
      <c r="Q203" s="22">
        <f>'рабочая не печать '!$M$61</f>
        <v>51.25925925925926</v>
      </c>
      <c r="R203" s="385">
        <f>O203*'рабочая не печать '!$N$63</f>
        <v>209.48148148148147</v>
      </c>
      <c r="V203" s="38">
        <f t="shared" si="53"/>
        <v>0.09578125424541495</v>
      </c>
      <c r="W203" s="376">
        <v>0</v>
      </c>
      <c r="X203" s="42">
        <v>0</v>
      </c>
      <c r="Y203" s="393">
        <v>0</v>
      </c>
    </row>
    <row r="204" spans="1:25" ht="49.5" customHeight="1">
      <c r="A204" s="841"/>
      <c r="B204" s="22"/>
      <c r="C204" s="771"/>
      <c r="D204" s="773"/>
      <c r="E204" s="42">
        <f t="shared" si="55"/>
        <v>0.1011108003356375</v>
      </c>
      <c r="F204" s="809"/>
      <c r="G204" s="22">
        <v>0</v>
      </c>
      <c r="H204" s="22">
        <v>2169</v>
      </c>
      <c r="I204" s="770"/>
      <c r="J204" s="816"/>
      <c r="K204" s="407" t="e">
        <f t="shared" si="54"/>
        <v>#REF!</v>
      </c>
      <c r="L204" s="229" t="s">
        <v>553</v>
      </c>
      <c r="M204" s="179" t="e">
        <f>0.375*(2.34/3.43)*#REF!</f>
        <v>#REF!</v>
      </c>
      <c r="N204" s="169" t="e">
        <f t="shared" si="52"/>
        <v>#REF!</v>
      </c>
      <c r="O204" s="376">
        <f>'рабочая не печать '!$K$63</f>
        <v>2.2303703703703697</v>
      </c>
      <c r="P204" s="42"/>
      <c r="Q204" s="22">
        <f>'рабочая не печать '!$M$61</f>
        <v>51.25925925925926</v>
      </c>
      <c r="R204" s="385">
        <f>O204*'рабочая не печать '!$N$63</f>
        <v>209.48148148148147</v>
      </c>
      <c r="V204" s="38">
        <f t="shared" si="53"/>
        <v>0.2751649542494106</v>
      </c>
      <c r="W204" s="376">
        <v>0</v>
      </c>
      <c r="X204" s="42">
        <v>0</v>
      </c>
      <c r="Y204" s="393">
        <v>0</v>
      </c>
    </row>
    <row r="205" spans="1:25" ht="49.5" customHeight="1">
      <c r="A205" s="841"/>
      <c r="B205" s="22"/>
      <c r="C205" s="771"/>
      <c r="D205" s="773"/>
      <c r="E205" s="42">
        <f t="shared" si="55"/>
        <v>0.009463113171108536</v>
      </c>
      <c r="F205" s="809"/>
      <c r="G205" s="22">
        <v>0</v>
      </c>
      <c r="H205" s="22">
        <v>203</v>
      </c>
      <c r="I205" s="770"/>
      <c r="J205" s="816"/>
      <c r="K205" s="407" t="e">
        <f t="shared" si="54"/>
        <v>#REF!</v>
      </c>
      <c r="L205" s="229" t="s">
        <v>133</v>
      </c>
      <c r="M205" s="179" t="e">
        <f>0.29*(2.34/3.43)*#REF!</f>
        <v>#REF!</v>
      </c>
      <c r="N205" s="169" t="e">
        <f t="shared" si="52"/>
        <v>#REF!</v>
      </c>
      <c r="O205" s="376">
        <f>'рабочая не печать '!$K$63</f>
        <v>2.2303703703703697</v>
      </c>
      <c r="P205" s="42"/>
      <c r="Q205" s="22">
        <f>'рабочая не печать '!$M$61</f>
        <v>51.25925925925926</v>
      </c>
      <c r="R205" s="385">
        <f>O205*'рабочая не печать '!$N$63</f>
        <v>209.48148148148147</v>
      </c>
      <c r="V205" s="38">
        <f t="shared" si="53"/>
        <v>0.02575310544611819</v>
      </c>
      <c r="W205" s="376">
        <v>0</v>
      </c>
      <c r="X205" s="42">
        <v>0</v>
      </c>
      <c r="Y205" s="393">
        <v>0</v>
      </c>
    </row>
    <row r="206" spans="1:25" ht="49.5" customHeight="1">
      <c r="A206" s="841"/>
      <c r="B206" s="22"/>
      <c r="C206" s="771"/>
      <c r="D206" s="773"/>
      <c r="E206" s="42">
        <f t="shared" si="55"/>
        <v>0.07146282015423343</v>
      </c>
      <c r="F206" s="809"/>
      <c r="G206" s="22">
        <v>0</v>
      </c>
      <c r="H206" s="22">
        <v>1533</v>
      </c>
      <c r="I206" s="770"/>
      <c r="J206" s="816"/>
      <c r="K206" s="407" t="e">
        <f t="shared" si="54"/>
        <v>#REF!</v>
      </c>
      <c r="L206" s="229" t="s">
        <v>553</v>
      </c>
      <c r="M206" s="179" t="e">
        <f>0.375*(2.34/3.43)*#REF!</f>
        <v>#REF!</v>
      </c>
      <c r="N206" s="169" t="e">
        <f t="shared" si="52"/>
        <v>#REF!</v>
      </c>
      <c r="O206" s="376">
        <f>'рабочая не печать '!$K$63</f>
        <v>2.2303703703703697</v>
      </c>
      <c r="P206" s="42"/>
      <c r="Q206" s="22">
        <f>'рабочая не печать '!$M$61</f>
        <v>51.25925925925926</v>
      </c>
      <c r="R206" s="385">
        <f>O206*'рабочая не печать '!$N$63</f>
        <v>209.48148148148147</v>
      </c>
      <c r="V206" s="38">
        <f t="shared" si="53"/>
        <v>0.19448034802413394</v>
      </c>
      <c r="W206" s="376">
        <v>0</v>
      </c>
      <c r="X206" s="42">
        <v>0</v>
      </c>
      <c r="Y206" s="393">
        <v>0</v>
      </c>
    </row>
    <row r="207" spans="1:25" ht="49.5" customHeight="1">
      <c r="A207" s="841"/>
      <c r="B207" s="22"/>
      <c r="C207" s="771"/>
      <c r="D207" s="773"/>
      <c r="E207" s="42">
        <f t="shared" si="55"/>
        <v>0.032351726801720805</v>
      </c>
      <c r="F207" s="809"/>
      <c r="G207" s="22">
        <v>0</v>
      </c>
      <c r="H207" s="22">
        <v>694</v>
      </c>
      <c r="I207" s="770"/>
      <c r="J207" s="816"/>
      <c r="K207" s="407" t="e">
        <f t="shared" si="54"/>
        <v>#REF!</v>
      </c>
      <c r="L207" s="229" t="s">
        <v>553</v>
      </c>
      <c r="M207" s="179" t="e">
        <f>0.375*(2.34/3.43)*#REF!</f>
        <v>#REF!</v>
      </c>
      <c r="N207" s="169" t="e">
        <f t="shared" si="52"/>
        <v>#REF!</v>
      </c>
      <c r="O207" s="376">
        <f>'рабочая не печать '!$K$63</f>
        <v>2.2303703703703697</v>
      </c>
      <c r="P207" s="42"/>
      <c r="Q207" s="22">
        <f>'рабочая не печать '!$M$61</f>
        <v>51.25925925925926</v>
      </c>
      <c r="R207" s="385">
        <f>O207*'рабочая не печать '!$N$63</f>
        <v>209.48148148148147</v>
      </c>
      <c r="V207" s="38">
        <f t="shared" si="53"/>
        <v>0.08804263635273904</v>
      </c>
      <c r="W207" s="376">
        <v>0</v>
      </c>
      <c r="X207" s="42">
        <v>0</v>
      </c>
      <c r="Y207" s="393">
        <v>0</v>
      </c>
    </row>
    <row r="208" spans="1:25" ht="49.5" customHeight="1">
      <c r="A208" s="841"/>
      <c r="B208" s="22"/>
      <c r="C208" s="771"/>
      <c r="D208" s="773"/>
      <c r="E208" s="42">
        <f t="shared" si="55"/>
        <v>0.04549752933498488</v>
      </c>
      <c r="F208" s="809"/>
      <c r="G208" s="22">
        <v>0</v>
      </c>
      <c r="H208" s="22">
        <v>976</v>
      </c>
      <c r="I208" s="770"/>
      <c r="J208" s="816"/>
      <c r="K208" s="407" t="e">
        <f t="shared" si="54"/>
        <v>#REF!</v>
      </c>
      <c r="L208" s="229" t="s">
        <v>553</v>
      </c>
      <c r="M208" s="179" t="e">
        <f>0.375*(2.34/3.43)*#REF!</f>
        <v>#REF!</v>
      </c>
      <c r="N208" s="169" t="e">
        <f t="shared" si="52"/>
        <v>#REF!</v>
      </c>
      <c r="O208" s="376">
        <f>'рабочая не печать '!$K$63</f>
        <v>2.2303703703703697</v>
      </c>
      <c r="P208" s="42"/>
      <c r="Q208" s="22">
        <f>'рабочая не печать '!$M$61</f>
        <v>51.25925925925926</v>
      </c>
      <c r="R208" s="385">
        <f>O208*'рабочая не печать '!$N$63</f>
        <v>209.48148148148147</v>
      </c>
      <c r="V208" s="38">
        <f t="shared" si="53"/>
        <v>0.12381788628281455</v>
      </c>
      <c r="W208" s="376">
        <v>0</v>
      </c>
      <c r="X208" s="42">
        <v>0</v>
      </c>
      <c r="Y208" s="393">
        <v>0</v>
      </c>
    </row>
    <row r="209" spans="1:25" ht="49.5" customHeight="1">
      <c r="A209" s="841"/>
      <c r="B209" s="22"/>
      <c r="C209" s="771"/>
      <c r="D209" s="773"/>
      <c r="E209" s="42">
        <f t="shared" si="55"/>
        <v>0.018879610021177128</v>
      </c>
      <c r="F209" s="809"/>
      <c r="G209" s="22">
        <v>0</v>
      </c>
      <c r="H209" s="22">
        <v>405</v>
      </c>
      <c r="I209" s="770"/>
      <c r="J209" s="816"/>
      <c r="K209" s="407" t="e">
        <f t="shared" si="54"/>
        <v>#REF!</v>
      </c>
      <c r="L209" s="229" t="s">
        <v>133</v>
      </c>
      <c r="M209" s="179" t="e">
        <f>0.29*(2.34/3.43)*#REF!</f>
        <v>#REF!</v>
      </c>
      <c r="N209" s="169" t="e">
        <f t="shared" si="52"/>
        <v>#REF!</v>
      </c>
      <c r="O209" s="376">
        <f>'рабочая не печать '!$K$63</f>
        <v>2.2303703703703697</v>
      </c>
      <c r="P209" s="42"/>
      <c r="Q209" s="22">
        <f>'рабочая не печать '!$M$61</f>
        <v>51.25925925925926</v>
      </c>
      <c r="R209" s="385">
        <f>O209*'рабочая не печать '!$N$63</f>
        <v>209.48148148148147</v>
      </c>
      <c r="V209" s="38">
        <f t="shared" si="53"/>
        <v>0.051379348303831854</v>
      </c>
      <c r="W209" s="376">
        <v>0</v>
      </c>
      <c r="X209" s="42">
        <v>0</v>
      </c>
      <c r="Y209" s="393">
        <v>0</v>
      </c>
    </row>
    <row r="210" spans="1:25" ht="49.5" customHeight="1">
      <c r="A210" s="841"/>
      <c r="B210" s="22"/>
      <c r="C210" s="771"/>
      <c r="D210" s="773"/>
      <c r="E210" s="42">
        <f t="shared" si="55"/>
        <v>0.018460063131817635</v>
      </c>
      <c r="F210" s="809"/>
      <c r="G210" s="22">
        <v>0</v>
      </c>
      <c r="H210" s="22">
        <v>396</v>
      </c>
      <c r="I210" s="770"/>
      <c r="J210" s="816"/>
      <c r="K210" s="407" t="e">
        <f t="shared" si="54"/>
        <v>#REF!</v>
      </c>
      <c r="L210" s="229" t="s">
        <v>133</v>
      </c>
      <c r="M210" s="179" t="e">
        <f>0.29*(2.34/3.43)*#REF!</f>
        <v>#REF!</v>
      </c>
      <c r="N210" s="169" t="e">
        <f t="shared" si="52"/>
        <v>#REF!</v>
      </c>
      <c r="O210" s="376">
        <f>'рабочая не печать '!$K$63</f>
        <v>2.2303703703703697</v>
      </c>
      <c r="P210" s="42"/>
      <c r="Q210" s="22">
        <f>'рабочая не печать '!$M$61</f>
        <v>51.25925925925926</v>
      </c>
      <c r="R210" s="385">
        <f>O210*'рабочая не печать '!$N$63</f>
        <v>209.48148148148147</v>
      </c>
      <c r="V210" s="38">
        <f t="shared" si="53"/>
        <v>0.05023758500819115</v>
      </c>
      <c r="W210" s="376">
        <v>0</v>
      </c>
      <c r="X210" s="42">
        <v>0</v>
      </c>
      <c r="Y210" s="393">
        <v>0</v>
      </c>
    </row>
    <row r="211" spans="1:25" ht="49.5" customHeight="1">
      <c r="A211" s="843"/>
      <c r="B211" s="22"/>
      <c r="C211" s="771"/>
      <c r="D211" s="773"/>
      <c r="E211" s="42">
        <f t="shared" si="55"/>
        <v>0.022515683062292725</v>
      </c>
      <c r="F211" s="810"/>
      <c r="G211" s="22">
        <v>0</v>
      </c>
      <c r="H211" s="22">
        <v>483</v>
      </c>
      <c r="I211" s="770"/>
      <c r="J211" s="815"/>
      <c r="K211" s="407" t="e">
        <f t="shared" si="54"/>
        <v>#REF!</v>
      </c>
      <c r="L211" s="229" t="s">
        <v>133</v>
      </c>
      <c r="M211" s="179" t="e">
        <f>0.29*(2.34/3.43)*#REF!</f>
        <v>#REF!</v>
      </c>
      <c r="N211" s="169" t="e">
        <f t="shared" si="52"/>
        <v>#REF!</v>
      </c>
      <c r="O211" s="376">
        <f>'рабочая не печать '!$K$63</f>
        <v>2.2303703703703697</v>
      </c>
      <c r="P211" s="42"/>
      <c r="Q211" s="22">
        <f>'рабочая не печать '!$M$61</f>
        <v>51.25925925925926</v>
      </c>
      <c r="R211" s="385">
        <f>O211*'рабочая не печать '!$N$63</f>
        <v>209.48148148148147</v>
      </c>
      <c r="V211" s="38">
        <f t="shared" si="53"/>
        <v>0.061274630199384665</v>
      </c>
      <c r="W211" s="376">
        <v>0</v>
      </c>
      <c r="X211" s="42">
        <v>0</v>
      </c>
      <c r="Y211" s="393">
        <v>0</v>
      </c>
    </row>
    <row r="212" spans="1:25" ht="49.5" customHeight="1">
      <c r="A212" s="823">
        <v>11</v>
      </c>
      <c r="B212" s="22"/>
      <c r="C212" s="771" t="s">
        <v>40</v>
      </c>
      <c r="D212" s="773">
        <v>10</v>
      </c>
      <c r="E212" s="42">
        <f>SUM(10/I212)*G212</f>
        <v>6.874655385016391</v>
      </c>
      <c r="F212" s="774">
        <f>D212*'рабочая не печать '!$D$63</f>
        <v>2113.709157618127</v>
      </c>
      <c r="G212" s="22">
        <v>68574</v>
      </c>
      <c r="H212" s="22"/>
      <c r="I212" s="770">
        <f>SUM(G212,H213:H224)</f>
        <v>99749</v>
      </c>
      <c r="J212" s="814">
        <v>2113.71</v>
      </c>
      <c r="K212" s="407" t="e">
        <f>SUM(M211*G212)</f>
        <v>#REF!</v>
      </c>
      <c r="L212" s="229" t="s">
        <v>553</v>
      </c>
      <c r="M212" s="179" t="e">
        <f>0.375*(2.34/3.43)*#REF!</f>
        <v>#REF!</v>
      </c>
      <c r="N212" s="169" t="e">
        <f t="shared" si="52"/>
        <v>#REF!</v>
      </c>
      <c r="O212" s="376">
        <f>'рабочая не печать '!$K$63</f>
        <v>2.2303703703703697</v>
      </c>
      <c r="P212" s="42"/>
      <c r="Q212" s="22">
        <f>'рабочая не печать '!$M$61</f>
        <v>51.25925925925926</v>
      </c>
      <c r="R212" s="385">
        <f>O212*'рабочая не печать '!$N$63</f>
        <v>209.48148148148147</v>
      </c>
      <c r="V212" s="38">
        <f t="shared" si="53"/>
        <v>18.708824657891306</v>
      </c>
      <c r="W212" s="376">
        <v>0</v>
      </c>
      <c r="X212" s="42">
        <v>0</v>
      </c>
      <c r="Y212" s="393">
        <v>0</v>
      </c>
    </row>
    <row r="213" spans="1:25" ht="49.5" customHeight="1">
      <c r="A213" s="826"/>
      <c r="B213" s="22"/>
      <c r="C213" s="771"/>
      <c r="D213" s="773"/>
      <c r="E213" s="42">
        <f>SUM(10/99749)*H213</f>
        <v>0.0954395532787296</v>
      </c>
      <c r="F213" s="809"/>
      <c r="G213" s="22"/>
      <c r="H213" s="22">
        <v>952</v>
      </c>
      <c r="I213" s="770"/>
      <c r="J213" s="816"/>
      <c r="K213" s="407" t="e">
        <f aca="true" t="shared" si="56" ref="K213:K224">SUM(M213*H213)</f>
        <v>#REF!</v>
      </c>
      <c r="L213" s="229" t="s">
        <v>133</v>
      </c>
      <c r="M213" s="179" t="e">
        <f>0.29*(2.34/3.43)*#REF!</f>
        <v>#REF!</v>
      </c>
      <c r="N213" s="169" t="e">
        <f t="shared" si="52"/>
        <v>#REF!</v>
      </c>
      <c r="O213" s="376">
        <f>'рабочая не печать '!$K$63</f>
        <v>2.2303703703703697</v>
      </c>
      <c r="P213" s="42"/>
      <c r="Q213" s="22">
        <f>'рабочая не печать '!$M$61</f>
        <v>51.25925925925926</v>
      </c>
      <c r="R213" s="385">
        <f>O213*'рабочая не печать '!$N$63</f>
        <v>209.48148148148147</v>
      </c>
      <c r="V213" s="38">
        <f t="shared" si="53"/>
        <v>0.2597311090838003</v>
      </c>
      <c r="W213" s="376">
        <v>0</v>
      </c>
      <c r="X213" s="42">
        <v>0</v>
      </c>
      <c r="Y213" s="393">
        <v>0</v>
      </c>
    </row>
    <row r="214" spans="1:25" ht="49.5" customHeight="1">
      <c r="A214" s="826"/>
      <c r="B214" s="22"/>
      <c r="C214" s="771"/>
      <c r="D214" s="773"/>
      <c r="E214" s="42">
        <f>SUM(10/99749)*H214</f>
        <v>0.1001513799637089</v>
      </c>
      <c r="F214" s="809"/>
      <c r="G214" s="22"/>
      <c r="H214" s="22">
        <v>999</v>
      </c>
      <c r="I214" s="770"/>
      <c r="J214" s="816"/>
      <c r="K214" s="407" t="e">
        <f t="shared" si="56"/>
        <v>#REF!</v>
      </c>
      <c r="L214" s="229" t="s">
        <v>133</v>
      </c>
      <c r="M214" s="179" t="e">
        <f>0.29*(2.34/3.43)*#REF!</f>
        <v>#REF!</v>
      </c>
      <c r="N214" s="169" t="e">
        <f t="shared" si="52"/>
        <v>#REF!</v>
      </c>
      <c r="O214" s="376">
        <f>'рабочая не печать '!$K$63</f>
        <v>2.2303703703703697</v>
      </c>
      <c r="P214" s="42"/>
      <c r="Q214" s="22">
        <f>'рабочая не печать '!$M$61</f>
        <v>51.25925925925926</v>
      </c>
      <c r="R214" s="385">
        <f>O214*'рабочая не печать '!$N$63</f>
        <v>209.48148148148147</v>
      </c>
      <c r="V214" s="38">
        <f t="shared" si="53"/>
        <v>0.2725539684608367</v>
      </c>
      <c r="W214" s="376">
        <v>0</v>
      </c>
      <c r="X214" s="42">
        <v>0</v>
      </c>
      <c r="Y214" s="393">
        <v>0</v>
      </c>
    </row>
    <row r="215" spans="1:25" ht="49.5" customHeight="1">
      <c r="A215" s="826"/>
      <c r="B215" s="22"/>
      <c r="C215" s="771"/>
      <c r="D215" s="773"/>
      <c r="E215" s="42">
        <f>SUM(10/99749)*H215</f>
        <v>0.12762032702082227</v>
      </c>
      <c r="F215" s="809"/>
      <c r="G215" s="22"/>
      <c r="H215" s="22">
        <v>1273</v>
      </c>
      <c r="I215" s="770"/>
      <c r="J215" s="816"/>
      <c r="K215" s="407" t="e">
        <f t="shared" si="56"/>
        <v>#REF!</v>
      </c>
      <c r="L215" s="229" t="s">
        <v>133</v>
      </c>
      <c r="M215" s="179" t="e">
        <f>0.29*(2.34/3.43)*#REF!</f>
        <v>#REF!</v>
      </c>
      <c r="N215" s="169" t="e">
        <f t="shared" si="52"/>
        <v>#REF!</v>
      </c>
      <c r="O215" s="376">
        <f>'рабочая не печать '!$K$63</f>
        <v>2.2303703703703697</v>
      </c>
      <c r="P215" s="42"/>
      <c r="Q215" s="22">
        <f>'рабочая не печать '!$M$61</f>
        <v>51.25925925925926</v>
      </c>
      <c r="R215" s="385">
        <f>O215*'рабочая не печать '!$N$63</f>
        <v>209.48148148148147</v>
      </c>
      <c r="V215" s="38">
        <f t="shared" si="53"/>
        <v>0.34730851036100613</v>
      </c>
      <c r="W215" s="376">
        <v>0</v>
      </c>
      <c r="X215" s="42">
        <v>0</v>
      </c>
      <c r="Y215" s="393">
        <v>0</v>
      </c>
    </row>
    <row r="216" spans="1:25" ht="49.5" customHeight="1">
      <c r="A216" s="826"/>
      <c r="B216" s="22"/>
      <c r="C216" s="771"/>
      <c r="D216" s="773"/>
      <c r="E216" s="42">
        <f aca="true" t="shared" si="57" ref="E216:E224">SUM(10/99749)*H216</f>
        <v>0.4453177475463413</v>
      </c>
      <c r="F216" s="809"/>
      <c r="G216" s="22"/>
      <c r="H216" s="22">
        <v>4442</v>
      </c>
      <c r="I216" s="770"/>
      <c r="J216" s="816"/>
      <c r="K216" s="407" t="e">
        <f t="shared" si="56"/>
        <v>#REF!</v>
      </c>
      <c r="L216" s="229" t="s">
        <v>133</v>
      </c>
      <c r="M216" s="179" t="e">
        <f>0.29*(2.34/3.43)*#REF!</f>
        <v>#REF!</v>
      </c>
      <c r="N216" s="169" t="e">
        <f t="shared" si="52"/>
        <v>#REF!</v>
      </c>
      <c r="O216" s="376">
        <f>'рабочая не печать '!$K$63</f>
        <v>2.2303703703703697</v>
      </c>
      <c r="P216" s="42"/>
      <c r="Q216" s="22">
        <f>'рабочая не печать '!$M$61</f>
        <v>51.25925925925926</v>
      </c>
      <c r="R216" s="385">
        <f>O216*'рабочая не печать '!$N$63</f>
        <v>209.48148148148147</v>
      </c>
      <c r="V216" s="38">
        <f t="shared" si="53"/>
        <v>1.211896624527564</v>
      </c>
      <c r="W216" s="376">
        <v>0</v>
      </c>
      <c r="X216" s="42">
        <v>0</v>
      </c>
      <c r="Y216" s="393">
        <v>0</v>
      </c>
    </row>
    <row r="217" spans="1:25" ht="49.5" customHeight="1">
      <c r="A217" s="826"/>
      <c r="B217" s="22"/>
      <c r="C217" s="771"/>
      <c r="D217" s="773"/>
      <c r="E217" s="42">
        <f t="shared" si="57"/>
        <v>0.3900790985373287</v>
      </c>
      <c r="F217" s="809"/>
      <c r="G217" s="22"/>
      <c r="H217" s="22">
        <v>3891</v>
      </c>
      <c r="I217" s="770"/>
      <c r="J217" s="816"/>
      <c r="K217" s="407" t="e">
        <f t="shared" si="56"/>
        <v>#REF!</v>
      </c>
      <c r="L217" s="229" t="s">
        <v>133</v>
      </c>
      <c r="M217" s="179" t="e">
        <f>0.29*(2.34/3.43)*#REF!</f>
        <v>#REF!</v>
      </c>
      <c r="N217" s="169" t="e">
        <f aca="true" t="shared" si="58" ref="N217:N242">SUM(K217*0.05)</f>
        <v>#REF!</v>
      </c>
      <c r="O217" s="376">
        <f>'рабочая не печать '!$K$63</f>
        <v>2.2303703703703697</v>
      </c>
      <c r="P217" s="42"/>
      <c r="Q217" s="22">
        <f>'рабочая не печать '!$M$61</f>
        <v>51.25925925925926</v>
      </c>
      <c r="R217" s="385">
        <f>O217*'рабочая не печать '!$N$63</f>
        <v>209.48148148148147</v>
      </c>
      <c r="V217" s="38">
        <f t="shared" si="53"/>
        <v>1.0615690603414571</v>
      </c>
      <c r="W217" s="376">
        <v>0</v>
      </c>
      <c r="X217" s="42">
        <v>0</v>
      </c>
      <c r="Y217" s="393">
        <v>0</v>
      </c>
    </row>
    <row r="218" spans="1:25" ht="49.5" customHeight="1">
      <c r="A218" s="826"/>
      <c r="B218" s="22"/>
      <c r="C218" s="771"/>
      <c r="D218" s="773"/>
      <c r="E218" s="42">
        <f t="shared" si="57"/>
        <v>0.5399552877723085</v>
      </c>
      <c r="F218" s="809"/>
      <c r="G218" s="22"/>
      <c r="H218" s="22">
        <v>5386</v>
      </c>
      <c r="I218" s="770"/>
      <c r="J218" s="816"/>
      <c r="K218" s="407" t="e">
        <f t="shared" si="56"/>
        <v>#REF!</v>
      </c>
      <c r="L218" s="229" t="s">
        <v>553</v>
      </c>
      <c r="M218" s="179" t="e">
        <f>0.375*(2.34/3.43)*#REF!</f>
        <v>#REF!</v>
      </c>
      <c r="N218" s="169" t="e">
        <f t="shared" si="58"/>
        <v>#REF!</v>
      </c>
      <c r="O218" s="376">
        <f>'рабочая не печать '!$K$63</f>
        <v>2.2303703703703697</v>
      </c>
      <c r="P218" s="42"/>
      <c r="Q218" s="22">
        <f>'рабочая не печать '!$M$61</f>
        <v>51.25925925925926</v>
      </c>
      <c r="R218" s="385">
        <f>O218*'рабочая не печать '!$N$63</f>
        <v>209.48148148148147</v>
      </c>
      <c r="V218" s="38">
        <f t="shared" si="53"/>
        <v>1.4694451192493159</v>
      </c>
      <c r="W218" s="376">
        <v>0</v>
      </c>
      <c r="X218" s="42">
        <v>0</v>
      </c>
      <c r="Y218" s="393">
        <v>0</v>
      </c>
    </row>
    <row r="219" spans="1:25" ht="49.5" customHeight="1">
      <c r="A219" s="826"/>
      <c r="B219" s="22"/>
      <c r="C219" s="771"/>
      <c r="D219" s="773"/>
      <c r="E219" s="42">
        <f t="shared" si="57"/>
        <v>0.39599394480145167</v>
      </c>
      <c r="F219" s="809"/>
      <c r="G219" s="22"/>
      <c r="H219" s="22">
        <v>3950</v>
      </c>
      <c r="I219" s="770"/>
      <c r="J219" s="816"/>
      <c r="K219" s="407" t="e">
        <f t="shared" si="56"/>
        <v>#REF!</v>
      </c>
      <c r="L219" s="229" t="s">
        <v>553</v>
      </c>
      <c r="M219" s="179" t="e">
        <f>0.375*(2.34/3.43)*#REF!</f>
        <v>#REF!</v>
      </c>
      <c r="N219" s="169" t="e">
        <f t="shared" si="58"/>
        <v>#REF!</v>
      </c>
      <c r="O219" s="376">
        <f>'рабочая не печать '!$K$63</f>
        <v>2.2303703703703697</v>
      </c>
      <c r="P219" s="42"/>
      <c r="Q219" s="22">
        <f>'рабочая не печать '!$M$61</f>
        <v>51.25925925925926</v>
      </c>
      <c r="R219" s="385">
        <f>O219*'рабочая не печать '!$N$63</f>
        <v>209.48148148148147</v>
      </c>
      <c r="V219" s="38">
        <f t="shared" si="53"/>
        <v>1.0776658412615665</v>
      </c>
      <c r="W219" s="376">
        <v>0</v>
      </c>
      <c r="X219" s="42">
        <v>0</v>
      </c>
      <c r="Y219" s="393">
        <v>0</v>
      </c>
    </row>
    <row r="220" spans="1:25" ht="49.5" customHeight="1">
      <c r="A220" s="826"/>
      <c r="B220" s="22"/>
      <c r="C220" s="771"/>
      <c r="D220" s="773"/>
      <c r="E220" s="42">
        <f t="shared" si="57"/>
        <v>0.188172312504386</v>
      </c>
      <c r="F220" s="809"/>
      <c r="G220" s="22"/>
      <c r="H220" s="22">
        <v>1877</v>
      </c>
      <c r="I220" s="770"/>
      <c r="J220" s="816"/>
      <c r="K220" s="407" t="e">
        <f t="shared" si="56"/>
        <v>#REF!</v>
      </c>
      <c r="L220" s="229" t="s">
        <v>553</v>
      </c>
      <c r="M220" s="179" t="e">
        <f>0.375*(2.34/3.43)*#REF!</f>
        <v>#REF!</v>
      </c>
      <c r="N220" s="169" t="e">
        <f t="shared" si="58"/>
        <v>#REF!</v>
      </c>
      <c r="O220" s="376">
        <f>'рабочая не печать '!$K$63</f>
        <v>2.2303703703703697</v>
      </c>
      <c r="P220" s="42"/>
      <c r="Q220" s="22">
        <f>'рабочая не печать '!$M$61</f>
        <v>51.25925925925926</v>
      </c>
      <c r="R220" s="385">
        <f>O220*'рабочая не печать '!$N$63</f>
        <v>209.48148148148147</v>
      </c>
      <c r="V220" s="38">
        <f t="shared" si="53"/>
        <v>0.5120958946956862</v>
      </c>
      <c r="W220" s="376">
        <v>0</v>
      </c>
      <c r="X220" s="42">
        <v>0</v>
      </c>
      <c r="Y220" s="393">
        <v>0</v>
      </c>
    </row>
    <row r="221" spans="1:25" ht="49.5" customHeight="1">
      <c r="A221" s="826"/>
      <c r="B221" s="22"/>
      <c r="C221" s="771"/>
      <c r="D221" s="773"/>
      <c r="E221" s="42">
        <f t="shared" si="57"/>
        <v>0.1304273727054908</v>
      </c>
      <c r="F221" s="809"/>
      <c r="G221" s="22"/>
      <c r="H221" s="22">
        <v>1301</v>
      </c>
      <c r="I221" s="770"/>
      <c r="J221" s="816"/>
      <c r="K221" s="407" t="e">
        <f t="shared" si="56"/>
        <v>#REF!</v>
      </c>
      <c r="L221" s="229" t="s">
        <v>553</v>
      </c>
      <c r="M221" s="179" t="e">
        <f>0.375*(2.34/3.43)*#REF!</f>
        <v>#REF!</v>
      </c>
      <c r="N221" s="169" t="e">
        <f t="shared" si="58"/>
        <v>#REF!</v>
      </c>
      <c r="O221" s="376">
        <f>'рабочая не печать '!$K$63</f>
        <v>2.2303703703703697</v>
      </c>
      <c r="P221" s="42"/>
      <c r="Q221" s="22">
        <f>'рабочая не печать '!$M$61</f>
        <v>51.25925925925926</v>
      </c>
      <c r="R221" s="385">
        <f>O221*'рабочая не печать '!$N$63</f>
        <v>209.48148148148147</v>
      </c>
      <c r="V221" s="38">
        <f t="shared" si="53"/>
        <v>0.35494766062817673</v>
      </c>
      <c r="W221" s="376">
        <v>0</v>
      </c>
      <c r="X221" s="42">
        <v>0</v>
      </c>
      <c r="Y221" s="393">
        <v>0</v>
      </c>
    </row>
    <row r="222" spans="1:25" ht="49.5" customHeight="1">
      <c r="A222" s="826"/>
      <c r="B222" s="22"/>
      <c r="C222" s="771"/>
      <c r="D222" s="773"/>
      <c r="E222" s="42">
        <f t="shared" si="57"/>
        <v>0.5034636938716177</v>
      </c>
      <c r="F222" s="809"/>
      <c r="G222" s="22"/>
      <c r="H222" s="22">
        <v>5022</v>
      </c>
      <c r="I222" s="770"/>
      <c r="J222" s="816"/>
      <c r="K222" s="407" t="e">
        <f t="shared" si="56"/>
        <v>#REF!</v>
      </c>
      <c r="L222" s="229" t="s">
        <v>553</v>
      </c>
      <c r="M222" s="179" t="e">
        <f>0.375*(2.34/3.43)*#REF!</f>
        <v>#REF!</v>
      </c>
      <c r="N222" s="169" t="e">
        <f t="shared" si="58"/>
        <v>#REF!</v>
      </c>
      <c r="O222" s="376">
        <f>'рабочая не печать '!$K$63</f>
        <v>2.2303703703703697</v>
      </c>
      <c r="P222" s="42"/>
      <c r="Q222" s="22">
        <f>'рабочая не печать '!$M$61</f>
        <v>51.25925925925926</v>
      </c>
      <c r="R222" s="385">
        <f>O222*'рабочая не печать '!$N$63</f>
        <v>209.48148148148147</v>
      </c>
      <c r="V222" s="38">
        <f t="shared" si="53"/>
        <v>1.370136165776098</v>
      </c>
      <c r="W222" s="376">
        <v>0</v>
      </c>
      <c r="X222" s="42">
        <v>0</v>
      </c>
      <c r="Y222" s="393">
        <v>0</v>
      </c>
    </row>
    <row r="223" spans="1:25" ht="49.5" customHeight="1">
      <c r="A223" s="826"/>
      <c r="B223" s="22"/>
      <c r="C223" s="771"/>
      <c r="D223" s="773"/>
      <c r="E223" s="42">
        <f t="shared" si="57"/>
        <v>0.12431202317817723</v>
      </c>
      <c r="F223" s="809"/>
      <c r="G223" s="22"/>
      <c r="H223" s="22">
        <v>1240</v>
      </c>
      <c r="I223" s="770"/>
      <c r="J223" s="816"/>
      <c r="K223" s="407" t="e">
        <f t="shared" si="56"/>
        <v>#REF!</v>
      </c>
      <c r="L223" s="229" t="s">
        <v>553</v>
      </c>
      <c r="M223" s="179" t="e">
        <f>0.375*(2.34/3.43)*#REF!</f>
        <v>#REF!</v>
      </c>
      <c r="N223" s="169" t="e">
        <f t="shared" si="58"/>
        <v>#REF!</v>
      </c>
      <c r="O223" s="376">
        <f>'рабочая не печать '!$K$63</f>
        <v>2.2303703703703697</v>
      </c>
      <c r="P223" s="42"/>
      <c r="Q223" s="22">
        <f>'рабочая не печать '!$M$61</f>
        <v>51.25925925925926</v>
      </c>
      <c r="R223" s="385">
        <f>O223*'рабочая не печать '!$N$63</f>
        <v>209.48148148148147</v>
      </c>
      <c r="V223" s="38">
        <f t="shared" si="53"/>
        <v>0.3383052261175551</v>
      </c>
      <c r="W223" s="376">
        <v>0</v>
      </c>
      <c r="X223" s="42">
        <v>0</v>
      </c>
      <c r="Y223" s="393">
        <v>0</v>
      </c>
    </row>
    <row r="224" spans="1:25" ht="49.5" customHeight="1">
      <c r="A224" s="824"/>
      <c r="B224" s="22"/>
      <c r="C224" s="771"/>
      <c r="D224" s="773"/>
      <c r="E224" s="42">
        <f t="shared" si="57"/>
        <v>0.08441187380324615</v>
      </c>
      <c r="F224" s="810"/>
      <c r="G224" s="22"/>
      <c r="H224" s="22">
        <v>842</v>
      </c>
      <c r="I224" s="770"/>
      <c r="J224" s="815"/>
      <c r="K224" s="407" t="e">
        <f t="shared" si="56"/>
        <v>#REF!</v>
      </c>
      <c r="L224" s="229" t="s">
        <v>553</v>
      </c>
      <c r="M224" s="179" t="e">
        <f>0.375*(2.34/3.43)*#REF!</f>
        <v>#REF!</v>
      </c>
      <c r="N224" s="169" t="e">
        <f t="shared" si="58"/>
        <v>#REF!</v>
      </c>
      <c r="O224" s="376">
        <f>'рабочая не печать '!$K$63</f>
        <v>2.2303703703703697</v>
      </c>
      <c r="P224" s="42"/>
      <c r="Q224" s="22">
        <f>'рабочая не печать '!$M$61</f>
        <v>51.25925925925926</v>
      </c>
      <c r="R224" s="385">
        <f>O224*'рабочая не печать '!$N$63</f>
        <v>209.48148148148147</v>
      </c>
      <c r="V224" s="38">
        <f t="shared" si="53"/>
        <v>0.22972016160563014</v>
      </c>
      <c r="W224" s="376">
        <v>0</v>
      </c>
      <c r="X224" s="42">
        <v>0</v>
      </c>
      <c r="Y224" s="393">
        <v>0</v>
      </c>
    </row>
    <row r="225" spans="1:25" ht="49.5" customHeight="1">
      <c r="A225" s="823">
        <v>12</v>
      </c>
      <c r="B225" s="22"/>
      <c r="C225" s="771" t="s">
        <v>41</v>
      </c>
      <c r="D225" s="773">
        <v>34.8</v>
      </c>
      <c r="E225" s="42">
        <f>SUM(D225/I225)*G225</f>
        <v>29.780012485187857</v>
      </c>
      <c r="F225" s="774">
        <f>D225*'рабочая не печать '!$D$63</f>
        <v>7355.707868511082</v>
      </c>
      <c r="G225" s="22">
        <v>228927</v>
      </c>
      <c r="H225" s="22"/>
      <c r="I225" s="770">
        <f>SUM(G225,H226:H241)</f>
        <v>267517</v>
      </c>
      <c r="J225" s="814">
        <v>7355.71</v>
      </c>
      <c r="K225" s="407" t="e">
        <f>SUM(M225*G225)</f>
        <v>#REF!</v>
      </c>
      <c r="L225" s="229" t="s">
        <v>553</v>
      </c>
      <c r="M225" s="179" t="e">
        <f>0.375*(2.34/3.43)*#REF!</f>
        <v>#REF!</v>
      </c>
      <c r="N225" s="169" t="e">
        <f t="shared" si="58"/>
        <v>#REF!</v>
      </c>
      <c r="O225" s="376">
        <f>'рабочая не печать '!$K$63</f>
        <v>2.2303703703703697</v>
      </c>
      <c r="P225" s="42"/>
      <c r="Q225" s="22">
        <f>'рабочая не печать '!$M$61</f>
        <v>51.25925925925926</v>
      </c>
      <c r="R225" s="385">
        <f>O225*'рабочая не печать '!$N$63</f>
        <v>209.48148148148147</v>
      </c>
      <c r="V225" s="38">
        <f t="shared" si="53"/>
        <v>81.04392157743993</v>
      </c>
      <c r="W225" s="376">
        <v>0</v>
      </c>
      <c r="X225" s="42">
        <v>0</v>
      </c>
      <c r="Y225" s="393">
        <v>0</v>
      </c>
    </row>
    <row r="226" spans="1:25" ht="49.5" customHeight="1">
      <c r="A226" s="826"/>
      <c r="B226" s="22"/>
      <c r="C226" s="771"/>
      <c r="D226" s="773"/>
      <c r="E226" s="42">
        <f>SUM(D225/I225)*H226</f>
        <v>0.03941581282684838</v>
      </c>
      <c r="F226" s="808"/>
      <c r="G226" s="22"/>
      <c r="H226" s="22">
        <v>303</v>
      </c>
      <c r="I226" s="770"/>
      <c r="J226" s="816"/>
      <c r="K226" s="407" t="e">
        <f aca="true" t="shared" si="59" ref="K226:K241">SUM(M226*H226)</f>
        <v>#REF!</v>
      </c>
      <c r="L226" s="229" t="s">
        <v>133</v>
      </c>
      <c r="M226" s="179" t="e">
        <f>0.29*(2.34/3.43)*#REF!</f>
        <v>#REF!</v>
      </c>
      <c r="N226" s="169" t="e">
        <f t="shared" si="58"/>
        <v>#REF!</v>
      </c>
      <c r="O226" s="376">
        <f>'рабочая не печать '!$K$63</f>
        <v>2.2303703703703697</v>
      </c>
      <c r="P226" s="42"/>
      <c r="Q226" s="22">
        <f>'рабочая не печать '!$M$61</f>
        <v>51.25925925925926</v>
      </c>
      <c r="R226" s="385">
        <f>O226*'рабочая не печать '!$N$63</f>
        <v>209.48148148148147</v>
      </c>
      <c r="V226" s="38">
        <f t="shared" si="53"/>
        <v>0.10726698134324171</v>
      </c>
      <c r="W226" s="376">
        <v>0</v>
      </c>
      <c r="X226" s="42">
        <v>0</v>
      </c>
      <c r="Y226" s="393">
        <v>0</v>
      </c>
    </row>
    <row r="227" spans="1:25" ht="49.5" customHeight="1">
      <c r="A227" s="826"/>
      <c r="B227" s="22"/>
      <c r="C227" s="771"/>
      <c r="D227" s="773"/>
      <c r="E227" s="42">
        <f>SUM(34.8/267517)*H227</f>
        <v>0.15584205863552597</v>
      </c>
      <c r="F227" s="808"/>
      <c r="G227" s="22"/>
      <c r="H227" s="22">
        <v>1198</v>
      </c>
      <c r="I227" s="770"/>
      <c r="J227" s="816"/>
      <c r="K227" s="407" t="e">
        <f t="shared" si="59"/>
        <v>#REF!</v>
      </c>
      <c r="L227" s="229" t="s">
        <v>553</v>
      </c>
      <c r="M227" s="179" t="e">
        <f>0.375*(2.34/3.43)*#REF!</f>
        <v>#REF!</v>
      </c>
      <c r="N227" s="169" t="e">
        <f t="shared" si="58"/>
        <v>#REF!</v>
      </c>
      <c r="O227" s="376">
        <f>'рабочая не печать '!$K$63</f>
        <v>2.2303703703703697</v>
      </c>
      <c r="P227" s="42"/>
      <c r="Q227" s="22">
        <f>'рабочая не печать '!$M$61</f>
        <v>51.25925925925926</v>
      </c>
      <c r="R227" s="385">
        <f>O227*'рабочая не печать '!$N$63</f>
        <v>209.48148148148147</v>
      </c>
      <c r="V227" s="38">
        <f t="shared" si="53"/>
        <v>0.42411169521189307</v>
      </c>
      <c r="W227" s="376">
        <v>0</v>
      </c>
      <c r="X227" s="42">
        <v>0</v>
      </c>
      <c r="Y227" s="393">
        <v>0</v>
      </c>
    </row>
    <row r="228" spans="1:25" ht="49.5" customHeight="1">
      <c r="A228" s="826"/>
      <c r="B228" s="22"/>
      <c r="C228" s="771"/>
      <c r="D228" s="773"/>
      <c r="E228" s="42">
        <f aca="true" t="shared" si="60" ref="E228:E241">SUM(34.8/267517)*H228</f>
        <v>0.19603838260746045</v>
      </c>
      <c r="F228" s="809"/>
      <c r="G228" s="22"/>
      <c r="H228" s="22">
        <v>1507</v>
      </c>
      <c r="I228" s="770"/>
      <c r="J228" s="816"/>
      <c r="K228" s="407" t="e">
        <f t="shared" si="59"/>
        <v>#REF!</v>
      </c>
      <c r="L228" s="229" t="s">
        <v>133</v>
      </c>
      <c r="M228" s="179" t="e">
        <f>0.29*(2.34/3.43)*#REF!</f>
        <v>#REF!</v>
      </c>
      <c r="N228" s="169" t="e">
        <f t="shared" si="58"/>
        <v>#REF!</v>
      </c>
      <c r="O228" s="376">
        <f>'рабочая не печать '!$K$63</f>
        <v>2.2303703703703697</v>
      </c>
      <c r="P228" s="42"/>
      <c r="Q228" s="22">
        <f>'рабочая не печать '!$M$61</f>
        <v>51.25925925925926</v>
      </c>
      <c r="R228" s="385">
        <f>O228*'рабочая не печать '!$N$63</f>
        <v>209.48148148148147</v>
      </c>
      <c r="V228" s="38">
        <f t="shared" si="53"/>
        <v>0.5335027751955951</v>
      </c>
      <c r="W228" s="376">
        <v>0</v>
      </c>
      <c r="X228" s="42">
        <v>0</v>
      </c>
      <c r="Y228" s="393">
        <v>0</v>
      </c>
    </row>
    <row r="229" spans="1:25" ht="49.5" customHeight="1">
      <c r="A229" s="826"/>
      <c r="B229" s="22"/>
      <c r="C229" s="771"/>
      <c r="D229" s="773"/>
      <c r="E229" s="42">
        <f t="shared" si="60"/>
        <v>0.1453051581768635</v>
      </c>
      <c r="F229" s="809"/>
      <c r="G229" s="22"/>
      <c r="H229" s="22">
        <v>1117</v>
      </c>
      <c r="I229" s="770"/>
      <c r="J229" s="816"/>
      <c r="K229" s="407" t="e">
        <f t="shared" si="59"/>
        <v>#REF!</v>
      </c>
      <c r="L229" s="229" t="s">
        <v>553</v>
      </c>
      <c r="M229" s="179" t="e">
        <f>0.375*(2.34/3.43)*#REF!</f>
        <v>#REF!</v>
      </c>
      <c r="N229" s="169" t="e">
        <f t="shared" si="58"/>
        <v>#REF!</v>
      </c>
      <c r="O229" s="376">
        <f>'рабочая не печать '!$K$63</f>
        <v>2.2303703703703697</v>
      </c>
      <c r="P229" s="42"/>
      <c r="Q229" s="22">
        <f>'рабочая не печать '!$M$61</f>
        <v>51.25925925925926</v>
      </c>
      <c r="R229" s="385">
        <f>O229*'рабочая не печать '!$N$63</f>
        <v>209.48148148148147</v>
      </c>
      <c r="V229" s="38">
        <f t="shared" si="53"/>
        <v>0.3954363635656799</v>
      </c>
      <c r="W229" s="376">
        <v>0</v>
      </c>
      <c r="X229" s="42">
        <v>0</v>
      </c>
      <c r="Y229" s="393">
        <v>0</v>
      </c>
    </row>
    <row r="230" spans="1:25" ht="49.5" customHeight="1">
      <c r="A230" s="826"/>
      <c r="B230" s="22"/>
      <c r="C230" s="771"/>
      <c r="D230" s="773"/>
      <c r="E230" s="42">
        <f t="shared" si="60"/>
        <v>0.33822149620397957</v>
      </c>
      <c r="F230" s="809"/>
      <c r="G230" s="22"/>
      <c r="H230" s="22">
        <v>2600</v>
      </c>
      <c r="I230" s="770"/>
      <c r="J230" s="816"/>
      <c r="K230" s="407" t="e">
        <f t="shared" si="59"/>
        <v>#REF!</v>
      </c>
      <c r="L230" s="229" t="s">
        <v>553</v>
      </c>
      <c r="M230" s="179" t="e">
        <f>0.375*(2.34/3.43)*#REF!</f>
        <v>#REF!</v>
      </c>
      <c r="N230" s="169" t="e">
        <f t="shared" si="58"/>
        <v>#REF!</v>
      </c>
      <c r="O230" s="376">
        <v>2.2303703703703697</v>
      </c>
      <c r="P230" s="42"/>
      <c r="Q230" s="22">
        <f>'рабочая не печать '!$M$61</f>
        <v>51.25925925925926</v>
      </c>
      <c r="R230" s="385">
        <f>O230*'рабочая не печать '!$N$63</f>
        <v>209.48148148148147</v>
      </c>
      <c r="V230" s="38">
        <f t="shared" si="53"/>
        <v>0.9204427441994341</v>
      </c>
      <c r="W230" s="376">
        <v>0</v>
      </c>
      <c r="X230" s="42">
        <v>0</v>
      </c>
      <c r="Y230" s="393">
        <v>0</v>
      </c>
    </row>
    <row r="231" spans="1:25" ht="49.5" customHeight="1">
      <c r="A231" s="826"/>
      <c r="B231" s="22"/>
      <c r="C231" s="771"/>
      <c r="D231" s="773"/>
      <c r="E231" s="42">
        <f t="shared" si="60"/>
        <v>0.7636000702759077</v>
      </c>
      <c r="F231" s="809"/>
      <c r="G231" s="22"/>
      <c r="H231" s="22">
        <v>5870</v>
      </c>
      <c r="I231" s="770"/>
      <c r="J231" s="816"/>
      <c r="K231" s="407" t="e">
        <f t="shared" si="59"/>
        <v>#REF!</v>
      </c>
      <c r="L231" s="229" t="s">
        <v>553</v>
      </c>
      <c r="M231" s="179" t="e">
        <f>0.375*(2.34/3.43)*#REF!</f>
        <v>#REF!</v>
      </c>
      <c r="N231" s="169" t="e">
        <f t="shared" si="58"/>
        <v>#REF!</v>
      </c>
      <c r="O231" s="376">
        <v>2.2303703703703697</v>
      </c>
      <c r="P231" s="42"/>
      <c r="Q231" s="22">
        <f>'рабочая не печать '!$M$61</f>
        <v>51.25925925925926</v>
      </c>
      <c r="R231" s="385">
        <f>O231*'рабочая не печать '!$N$63</f>
        <v>209.48148148148147</v>
      </c>
      <c r="V231" s="38">
        <f t="shared" si="53"/>
        <v>2.078076503250261</v>
      </c>
      <c r="W231" s="376">
        <v>0</v>
      </c>
      <c r="X231" s="42">
        <v>0</v>
      </c>
      <c r="Y231" s="393">
        <v>0</v>
      </c>
    </row>
    <row r="232" spans="1:25" ht="49.5" customHeight="1">
      <c r="A232" s="826"/>
      <c r="B232" s="22"/>
      <c r="C232" s="771"/>
      <c r="D232" s="773"/>
      <c r="E232" s="42">
        <f t="shared" si="60"/>
        <v>0.30140738719408483</v>
      </c>
      <c r="F232" s="809"/>
      <c r="G232" s="22"/>
      <c r="H232" s="22">
        <v>2317</v>
      </c>
      <c r="I232" s="770"/>
      <c r="J232" s="816"/>
      <c r="K232" s="407" t="e">
        <f t="shared" si="59"/>
        <v>#REF!</v>
      </c>
      <c r="L232" s="229" t="s">
        <v>133</v>
      </c>
      <c r="M232" s="179" t="e">
        <f>0.29*(2.34/3.43)*#REF!</f>
        <v>#REF!</v>
      </c>
      <c r="N232" s="169" t="e">
        <f t="shared" si="58"/>
        <v>#REF!</v>
      </c>
      <c r="O232" s="376">
        <v>2.2303703703703697</v>
      </c>
      <c r="P232" s="42"/>
      <c r="Q232" s="22">
        <f>'рабочая не печать '!$M$61</f>
        <v>51.25925925925926</v>
      </c>
      <c r="R232" s="385">
        <f>O232*'рабочая не печать '!$N$63</f>
        <v>209.48148148148147</v>
      </c>
      <c r="V232" s="38">
        <f t="shared" si="53"/>
        <v>0.8202560916577263</v>
      </c>
      <c r="W232" s="376">
        <v>0</v>
      </c>
      <c r="X232" s="42">
        <v>0</v>
      </c>
      <c r="Y232" s="393">
        <v>0</v>
      </c>
    </row>
    <row r="233" spans="1:25" ht="49.5" customHeight="1">
      <c r="A233" s="826"/>
      <c r="B233" s="22"/>
      <c r="C233" s="771"/>
      <c r="D233" s="773"/>
      <c r="E233" s="42">
        <f t="shared" si="60"/>
        <v>0.30140738719408483</v>
      </c>
      <c r="F233" s="809"/>
      <c r="G233" s="22"/>
      <c r="H233" s="22">
        <v>2317</v>
      </c>
      <c r="I233" s="770"/>
      <c r="J233" s="816"/>
      <c r="K233" s="407" t="e">
        <f t="shared" si="59"/>
        <v>#REF!</v>
      </c>
      <c r="L233" s="229" t="s">
        <v>133</v>
      </c>
      <c r="M233" s="179" t="e">
        <f>0.29*(2.34/3.43)*#REF!</f>
        <v>#REF!</v>
      </c>
      <c r="N233" s="169" t="e">
        <f t="shared" si="58"/>
        <v>#REF!</v>
      </c>
      <c r="O233" s="376">
        <v>2.2303703703703697</v>
      </c>
      <c r="P233" s="42"/>
      <c r="Q233" s="22">
        <f>'рабочая не печать '!$M$61</f>
        <v>51.25925925925926</v>
      </c>
      <c r="R233" s="385">
        <f>O233*'рабочая не печать '!$N$63</f>
        <v>209.48148148148147</v>
      </c>
      <c r="V233" s="38">
        <f t="shared" si="53"/>
        <v>0.8202560916577263</v>
      </c>
      <c r="W233" s="376">
        <v>0</v>
      </c>
      <c r="X233" s="42">
        <v>0</v>
      </c>
      <c r="Y233" s="393">
        <v>0</v>
      </c>
    </row>
    <row r="234" spans="1:25" ht="49.5" customHeight="1">
      <c r="A234" s="826"/>
      <c r="B234" s="22"/>
      <c r="C234" s="771"/>
      <c r="D234" s="773"/>
      <c r="E234" s="42">
        <f t="shared" si="60"/>
        <v>0.3629376824650396</v>
      </c>
      <c r="F234" s="809"/>
      <c r="G234" s="22"/>
      <c r="H234" s="22">
        <v>2790</v>
      </c>
      <c r="I234" s="770"/>
      <c r="J234" s="816"/>
      <c r="K234" s="407" t="e">
        <f t="shared" si="59"/>
        <v>#REF!</v>
      </c>
      <c r="L234" s="229" t="s">
        <v>133</v>
      </c>
      <c r="M234" s="179" t="e">
        <f>0.29*(2.34/3.43)*#REF!</f>
        <v>#REF!</v>
      </c>
      <c r="N234" s="169" t="e">
        <f t="shared" si="58"/>
        <v>#REF!</v>
      </c>
      <c r="O234" s="376">
        <v>2.2303703703703697</v>
      </c>
      <c r="P234" s="42"/>
      <c r="Q234" s="22">
        <f>'рабочая не печать '!$M$61</f>
        <v>51.25925925925926</v>
      </c>
      <c r="R234" s="385">
        <f>O234*'рабочая не печать '!$N$63</f>
        <v>209.48148148148147</v>
      </c>
      <c r="V234" s="38">
        <f t="shared" si="53"/>
        <v>0.987705867814008</v>
      </c>
      <c r="W234" s="376">
        <v>0</v>
      </c>
      <c r="X234" s="42">
        <v>0</v>
      </c>
      <c r="Y234" s="393">
        <v>0</v>
      </c>
    </row>
    <row r="235" spans="1:25" ht="49.5" customHeight="1">
      <c r="A235" s="826"/>
      <c r="B235" s="22"/>
      <c r="C235" s="771"/>
      <c r="D235" s="773"/>
      <c r="E235" s="42">
        <f t="shared" si="60"/>
        <v>0.3570838488768938</v>
      </c>
      <c r="F235" s="809"/>
      <c r="G235" s="22"/>
      <c r="H235" s="22">
        <v>2745</v>
      </c>
      <c r="I235" s="770"/>
      <c r="J235" s="816"/>
      <c r="K235" s="407" t="e">
        <f t="shared" si="59"/>
        <v>#REF!</v>
      </c>
      <c r="L235" s="229" t="s">
        <v>133</v>
      </c>
      <c r="M235" s="179" t="e">
        <f>0.29*(2.34/3.43)*#REF!</f>
        <v>#REF!</v>
      </c>
      <c r="N235" s="169" t="e">
        <f t="shared" si="58"/>
        <v>#REF!</v>
      </c>
      <c r="O235" s="376">
        <v>2.2303703703703697</v>
      </c>
      <c r="P235" s="42"/>
      <c r="Q235" s="22">
        <f>'рабочая не печать '!$M$61</f>
        <v>51.25925925925926</v>
      </c>
      <c r="R235" s="385">
        <f>O235*'рабочая не печать '!$N$63</f>
        <v>209.48148148148147</v>
      </c>
      <c r="V235" s="38">
        <f t="shared" si="53"/>
        <v>0.9717751280105564</v>
      </c>
      <c r="W235" s="376">
        <v>0</v>
      </c>
      <c r="X235" s="42">
        <v>0</v>
      </c>
      <c r="Y235" s="393">
        <v>0</v>
      </c>
    </row>
    <row r="236" spans="1:25" ht="49.5" customHeight="1">
      <c r="A236" s="826"/>
      <c r="B236" s="22"/>
      <c r="C236" s="771"/>
      <c r="D236" s="773"/>
      <c r="E236" s="42">
        <f t="shared" si="60"/>
        <v>0.36020589345723825</v>
      </c>
      <c r="F236" s="809"/>
      <c r="G236" s="22"/>
      <c r="H236" s="22">
        <v>2769</v>
      </c>
      <c r="I236" s="770"/>
      <c r="J236" s="816"/>
      <c r="K236" s="407" t="e">
        <f t="shared" si="59"/>
        <v>#REF!</v>
      </c>
      <c r="L236" s="229" t="s">
        <v>133</v>
      </c>
      <c r="M236" s="179" t="e">
        <f>0.29*(2.34/3.43)*#REF!</f>
        <v>#REF!</v>
      </c>
      <c r="N236" s="169" t="e">
        <f t="shared" si="58"/>
        <v>#REF!</v>
      </c>
      <c r="O236" s="376">
        <v>2.2303703703703697</v>
      </c>
      <c r="P236" s="42"/>
      <c r="Q236" s="22">
        <f>'рабочая не печать '!$M$61</f>
        <v>51.25925925925926</v>
      </c>
      <c r="R236" s="385">
        <f>O236*'рабочая не печать '!$N$63</f>
        <v>209.48148148148147</v>
      </c>
      <c r="V236" s="38">
        <f t="shared" si="53"/>
        <v>0.9802715225723972</v>
      </c>
      <c r="W236" s="376">
        <v>0</v>
      </c>
      <c r="X236" s="42">
        <v>0</v>
      </c>
      <c r="Y236" s="393">
        <v>0</v>
      </c>
    </row>
    <row r="237" spans="1:25" ht="49.5" customHeight="1">
      <c r="A237" s="826"/>
      <c r="B237" s="22"/>
      <c r="C237" s="771"/>
      <c r="D237" s="773"/>
      <c r="E237" s="42">
        <f t="shared" si="60"/>
        <v>0.505380966443254</v>
      </c>
      <c r="F237" s="809"/>
      <c r="G237" s="22"/>
      <c r="H237" s="22">
        <v>3885</v>
      </c>
      <c r="I237" s="770"/>
      <c r="J237" s="816"/>
      <c r="K237" s="407" t="e">
        <f t="shared" si="59"/>
        <v>#REF!</v>
      </c>
      <c r="L237" s="229" t="s">
        <v>133</v>
      </c>
      <c r="M237" s="179" t="e">
        <f>0.29*(2.34/3.43)*#REF!</f>
        <v>#REF!</v>
      </c>
      <c r="N237" s="169" t="e">
        <f t="shared" si="58"/>
        <v>#REF!</v>
      </c>
      <c r="O237" s="376">
        <v>2.2303703703703697</v>
      </c>
      <c r="P237" s="42"/>
      <c r="Q237" s="22">
        <f>'рабочая не печать '!$M$61</f>
        <v>51.25925925925926</v>
      </c>
      <c r="R237" s="385">
        <f>O237*'рабочая не печать '!$N$63</f>
        <v>209.48148148148147</v>
      </c>
      <c r="V237" s="38">
        <f t="shared" si="53"/>
        <v>1.3753538696980003</v>
      </c>
      <c r="W237" s="376">
        <v>0</v>
      </c>
      <c r="X237" s="42">
        <v>0</v>
      </c>
      <c r="Y237" s="393">
        <v>0</v>
      </c>
    </row>
    <row r="238" spans="1:25" ht="49.5" customHeight="1">
      <c r="A238" s="826"/>
      <c r="B238" s="22"/>
      <c r="C238" s="771"/>
      <c r="D238" s="773"/>
      <c r="E238" s="42">
        <f t="shared" si="60"/>
        <v>0.3629376824650396</v>
      </c>
      <c r="F238" s="809"/>
      <c r="G238" s="22"/>
      <c r="H238" s="22">
        <v>2790</v>
      </c>
      <c r="I238" s="770"/>
      <c r="J238" s="816"/>
      <c r="K238" s="407" t="e">
        <f t="shared" si="59"/>
        <v>#REF!</v>
      </c>
      <c r="L238" s="229" t="s">
        <v>133</v>
      </c>
      <c r="M238" s="179" t="e">
        <f>0.29*(2.34/3.43)*#REF!</f>
        <v>#REF!</v>
      </c>
      <c r="N238" s="169" t="e">
        <f t="shared" si="58"/>
        <v>#REF!</v>
      </c>
      <c r="O238" s="376">
        <v>2.2303703703703697</v>
      </c>
      <c r="P238" s="42"/>
      <c r="Q238" s="22">
        <f>'рабочая не печать '!$M$61</f>
        <v>51.25925925925926</v>
      </c>
      <c r="R238" s="385">
        <f>O238*'рабочая не печать '!$N$63</f>
        <v>209.48148148148147</v>
      </c>
      <c r="V238" s="38">
        <f t="shared" si="53"/>
        <v>0.987705867814008</v>
      </c>
      <c r="W238" s="376">
        <v>0</v>
      </c>
      <c r="X238" s="42">
        <v>0</v>
      </c>
      <c r="Y238" s="393">
        <v>0</v>
      </c>
    </row>
    <row r="239" spans="1:25" ht="49.5" customHeight="1">
      <c r="A239" s="826"/>
      <c r="B239" s="22"/>
      <c r="C239" s="771"/>
      <c r="D239" s="773"/>
      <c r="E239" s="42">
        <f t="shared" si="60"/>
        <v>0.3626775120833442</v>
      </c>
      <c r="F239" s="809"/>
      <c r="G239" s="22"/>
      <c r="H239" s="22">
        <v>2788</v>
      </c>
      <c r="I239" s="770"/>
      <c r="J239" s="816"/>
      <c r="K239" s="407" t="e">
        <f t="shared" si="59"/>
        <v>#REF!</v>
      </c>
      <c r="L239" s="229" t="s">
        <v>133</v>
      </c>
      <c r="M239" s="179" t="e">
        <f>0.29*(2.34/3.43)*#REF!</f>
        <v>#REF!</v>
      </c>
      <c r="N239" s="169" t="e">
        <f t="shared" si="58"/>
        <v>#REF!</v>
      </c>
      <c r="O239" s="376">
        <v>2.2303703703703697</v>
      </c>
      <c r="P239" s="42"/>
      <c r="Q239" s="22">
        <f>'рабочая не печать '!$M$61</f>
        <v>51.25925925925926</v>
      </c>
      <c r="R239" s="385">
        <f>O239*'рабочая не печать '!$N$63</f>
        <v>209.48148148148147</v>
      </c>
      <c r="V239" s="38">
        <f t="shared" si="53"/>
        <v>0.9869978349338546</v>
      </c>
      <c r="W239" s="376">
        <v>0</v>
      </c>
      <c r="X239" s="42">
        <v>0</v>
      </c>
      <c r="Y239" s="393">
        <v>0</v>
      </c>
    </row>
    <row r="240" spans="1:25" ht="49.5" customHeight="1">
      <c r="A240" s="826"/>
      <c r="B240" s="22"/>
      <c r="C240" s="771"/>
      <c r="D240" s="773"/>
      <c r="E240" s="42">
        <f t="shared" si="60"/>
        <v>0.3555228265867216</v>
      </c>
      <c r="F240" s="809"/>
      <c r="G240" s="22"/>
      <c r="H240" s="22">
        <v>2733</v>
      </c>
      <c r="I240" s="770"/>
      <c r="J240" s="816"/>
      <c r="K240" s="407" t="e">
        <f t="shared" si="59"/>
        <v>#REF!</v>
      </c>
      <c r="L240" s="229" t="s">
        <v>133</v>
      </c>
      <c r="M240" s="179" t="e">
        <f>0.29*(2.34/3.43)*#REF!</f>
        <v>#REF!</v>
      </c>
      <c r="N240" s="169" t="e">
        <f t="shared" si="58"/>
        <v>#REF!</v>
      </c>
      <c r="O240" s="376">
        <v>2.2303703703703697</v>
      </c>
      <c r="P240" s="42"/>
      <c r="Q240" s="22">
        <f>'рабочая не печать '!$M$61</f>
        <v>51.25925925925926</v>
      </c>
      <c r="R240" s="385">
        <f>O240*'рабочая не печать '!$N$63</f>
        <v>209.48148148148147</v>
      </c>
      <c r="V240" s="38">
        <f t="shared" si="53"/>
        <v>0.9675269307296358</v>
      </c>
      <c r="W240" s="376">
        <v>0</v>
      </c>
      <c r="X240" s="42">
        <v>0</v>
      </c>
      <c r="Y240" s="393">
        <v>0</v>
      </c>
    </row>
    <row r="241" spans="1:25" ht="49.5" customHeight="1">
      <c r="A241" s="824"/>
      <c r="B241" s="22"/>
      <c r="C241" s="771"/>
      <c r="D241" s="773"/>
      <c r="E241" s="42">
        <f t="shared" si="60"/>
        <v>0.11200334931985631</v>
      </c>
      <c r="F241" s="810"/>
      <c r="G241" s="22"/>
      <c r="H241" s="22">
        <v>861</v>
      </c>
      <c r="I241" s="770"/>
      <c r="J241" s="815"/>
      <c r="K241" s="407" t="e">
        <f t="shared" si="59"/>
        <v>#REF!</v>
      </c>
      <c r="L241" s="229" t="s">
        <v>133</v>
      </c>
      <c r="M241" s="179" t="e">
        <f>0.29*(2.34/3.43)*#REF!</f>
        <v>#REF!</v>
      </c>
      <c r="N241" s="169" t="e">
        <f t="shared" si="58"/>
        <v>#REF!</v>
      </c>
      <c r="O241" s="376">
        <v>2.2303703703703697</v>
      </c>
      <c r="P241" s="42"/>
      <c r="Q241" s="22">
        <f>'рабочая не печать '!$M$61</f>
        <v>51.25925925925926</v>
      </c>
      <c r="R241" s="385">
        <f>O241*'рабочая не печать '!$N$63</f>
        <v>209.48148148148147</v>
      </c>
      <c r="V241" s="38">
        <f t="shared" si="53"/>
        <v>0.30480815490604335</v>
      </c>
      <c r="W241" s="376">
        <v>0</v>
      </c>
      <c r="X241" s="42">
        <v>0</v>
      </c>
      <c r="Y241" s="393">
        <v>0</v>
      </c>
    </row>
    <row r="242" spans="1:25" ht="63" customHeight="1" thickBot="1">
      <c r="A242" s="173">
        <v>13</v>
      </c>
      <c r="B242" s="47"/>
      <c r="C242" s="47" t="s">
        <v>404</v>
      </c>
      <c r="D242" s="49">
        <v>0.9</v>
      </c>
      <c r="E242" s="49">
        <v>0.9</v>
      </c>
      <c r="F242" s="49">
        <f>E242*'рабочая не печать '!$D$63</f>
        <v>190.23382418563145</v>
      </c>
      <c r="G242" s="47">
        <v>3365</v>
      </c>
      <c r="H242" s="47"/>
      <c r="I242" s="160">
        <f>SUM(G242+H242)</f>
        <v>3365</v>
      </c>
      <c r="J242" s="403">
        <v>190.23</v>
      </c>
      <c r="K242" s="405" t="e">
        <f>SUM(M242*G242)</f>
        <v>#REF!</v>
      </c>
      <c r="L242" s="232" t="s">
        <v>133</v>
      </c>
      <c r="M242" s="179" t="e">
        <f>0.29*(2.34/3.43)*#REF!</f>
        <v>#REF!</v>
      </c>
      <c r="N242" s="179" t="e">
        <f t="shared" si="58"/>
        <v>#REF!</v>
      </c>
      <c r="O242" s="377">
        <v>2.2303703703703697</v>
      </c>
      <c r="P242" s="49"/>
      <c r="Q242" s="47">
        <f>'рабочая не печать '!$M$61</f>
        <v>51.25925925925926</v>
      </c>
      <c r="R242" s="386">
        <f>O242*'рабочая не печать '!$N$63</f>
        <v>209.48148148148147</v>
      </c>
      <c r="V242" s="162">
        <f t="shared" si="53"/>
        <v>2.449278</v>
      </c>
      <c r="W242" s="377">
        <v>0</v>
      </c>
      <c r="X242" s="49">
        <v>0</v>
      </c>
      <c r="Y242" s="394">
        <v>0</v>
      </c>
    </row>
    <row r="243" spans="1:25" s="231" customFormat="1" ht="108" customHeight="1" thickBot="1">
      <c r="A243" s="198"/>
      <c r="B243" s="200" t="s">
        <v>458</v>
      </c>
      <c r="C243" s="200">
        <f>A242</f>
        <v>13</v>
      </c>
      <c r="D243" s="199">
        <f aca="true" t="shared" si="61" ref="D243:O243">SUM(D185:D242)</f>
        <v>74.37</v>
      </c>
      <c r="E243" s="199">
        <f t="shared" si="61"/>
        <v>74.37000000000003</v>
      </c>
      <c r="F243" s="199">
        <f t="shared" si="61"/>
        <v>15719.655005206014</v>
      </c>
      <c r="G243" s="200">
        <f t="shared" si="61"/>
        <v>450772</v>
      </c>
      <c r="H243" s="200">
        <f t="shared" si="61"/>
        <v>157780</v>
      </c>
      <c r="I243" s="200">
        <f t="shared" si="61"/>
        <v>608552</v>
      </c>
      <c r="J243" s="404">
        <f t="shared" si="61"/>
        <v>15719.64</v>
      </c>
      <c r="K243" s="406" t="e">
        <f>SUM(K185:K242)</f>
        <v>#REF!</v>
      </c>
      <c r="L243" s="220"/>
      <c r="M243" s="199" t="e">
        <f>K243/I243</f>
        <v>#REF!</v>
      </c>
      <c r="N243" s="175" t="e">
        <f>SUM(N185:N242)</f>
        <v>#REF!</v>
      </c>
      <c r="O243" s="378">
        <f t="shared" si="61"/>
        <v>129.3614814814813</v>
      </c>
      <c r="P243" s="199">
        <f>SUM(P185:P242)</f>
        <v>0</v>
      </c>
      <c r="Q243" s="200">
        <f>SUM(Q185:Q242)/58</f>
        <v>51.259259259259245</v>
      </c>
      <c r="R243" s="387">
        <f>SUM(R185:R242)</f>
        <v>12149.925925925934</v>
      </c>
      <c r="V243" s="199">
        <f>SUM(V185:V242)</f>
        <v>202.39200540000002</v>
      </c>
      <c r="W243" s="378">
        <f>SUM(W185:W242)</f>
        <v>0</v>
      </c>
      <c r="X243" s="199">
        <f>SUM(X185:X242)</f>
        <v>0</v>
      </c>
      <c r="Y243" s="395">
        <f>SUM(Y185:Y242)</f>
        <v>0</v>
      </c>
    </row>
    <row r="244" spans="1:25" s="234" customFormat="1" ht="49.5" customHeight="1">
      <c r="A244" s="225"/>
      <c r="B244" s="223" t="s">
        <v>423</v>
      </c>
      <c r="C244" s="226"/>
      <c r="D244" s="227"/>
      <c r="E244" s="227"/>
      <c r="F244" s="227"/>
      <c r="G244" s="226"/>
      <c r="H244" s="226"/>
      <c r="I244" s="223"/>
      <c r="J244" s="408"/>
      <c r="K244" s="408"/>
      <c r="L244" s="223"/>
      <c r="M244" s="227"/>
      <c r="N244" s="227"/>
      <c r="O244" s="381"/>
      <c r="P244" s="227"/>
      <c r="Q244" s="226"/>
      <c r="R244" s="388"/>
      <c r="V244" s="222"/>
      <c r="W244" s="381"/>
      <c r="X244" s="227"/>
      <c r="Y244" s="397"/>
    </row>
    <row r="245" spans="1:25" ht="49.5" customHeight="1">
      <c r="A245" s="823">
        <v>1</v>
      </c>
      <c r="B245" s="22"/>
      <c r="C245" s="771" t="s">
        <v>426</v>
      </c>
      <c r="D245" s="773">
        <v>6.3</v>
      </c>
      <c r="E245" s="42">
        <f>SUM(6.3/71181)*G245</f>
        <v>5.535124541661398</v>
      </c>
      <c r="F245" s="773">
        <v>1358</v>
      </c>
      <c r="G245" s="22">
        <v>62539</v>
      </c>
      <c r="H245" s="22"/>
      <c r="I245" s="770">
        <f>SUM(H246,G245)</f>
        <v>71181</v>
      </c>
      <c r="J245" s="814">
        <v>1358</v>
      </c>
      <c r="K245" s="407" t="e">
        <f aca="true" t="shared" si="62" ref="K245:K254">SUM(M245)*(G245+H245)</f>
        <v>#REF!</v>
      </c>
      <c r="L245" s="229" t="s">
        <v>553</v>
      </c>
      <c r="M245" s="179" t="e">
        <f>0.375*(2.34/3.43)*#REF!</f>
        <v>#REF!</v>
      </c>
      <c r="N245" s="169" t="e">
        <f aca="true" t="shared" si="63" ref="N245:N254">SUM(K245*0.05)</f>
        <v>#REF!</v>
      </c>
      <c r="O245" s="785">
        <v>4.36</v>
      </c>
      <c r="P245" s="773"/>
      <c r="Q245" s="771">
        <v>75</v>
      </c>
      <c r="R245" s="791">
        <v>1342</v>
      </c>
      <c r="V245" s="38">
        <f>SUM(E245*2.34*1.163)</f>
        <v>15.063398630168162</v>
      </c>
      <c r="W245" s="376">
        <v>0</v>
      </c>
      <c r="X245" s="42">
        <v>0</v>
      </c>
      <c r="Y245" s="393">
        <v>0</v>
      </c>
    </row>
    <row r="246" spans="1:25" ht="49.5" customHeight="1">
      <c r="A246" s="824"/>
      <c r="B246" s="22"/>
      <c r="C246" s="771"/>
      <c r="D246" s="773"/>
      <c r="E246" s="42">
        <f>SUM(6.3/71181)*H246</f>
        <v>0.7648754583386016</v>
      </c>
      <c r="F246" s="773"/>
      <c r="G246" s="22"/>
      <c r="H246" s="22">
        <v>8642</v>
      </c>
      <c r="I246" s="770"/>
      <c r="J246" s="815"/>
      <c r="K246" s="407" t="e">
        <f t="shared" si="62"/>
        <v>#REF!</v>
      </c>
      <c r="L246" s="229" t="s">
        <v>553</v>
      </c>
      <c r="M246" s="179" t="e">
        <f>0.375*(2.34/3.43)*#REF!</f>
        <v>#REF!</v>
      </c>
      <c r="N246" s="169" t="e">
        <f t="shared" si="63"/>
        <v>#REF!</v>
      </c>
      <c r="O246" s="785"/>
      <c r="P246" s="773"/>
      <c r="Q246" s="771"/>
      <c r="R246" s="791"/>
      <c r="V246" s="38">
        <f aca="true" t="shared" si="64" ref="V246:V254">SUM(E246*2.34*1.163)</f>
        <v>2.081547369831837</v>
      </c>
      <c r="W246" s="376">
        <v>0</v>
      </c>
      <c r="X246" s="42">
        <v>0</v>
      </c>
      <c r="Y246" s="393">
        <v>0</v>
      </c>
    </row>
    <row r="247" spans="1:25" ht="49.5" customHeight="1">
      <c r="A247" s="178">
        <v>2</v>
      </c>
      <c r="B247" s="22"/>
      <c r="C247" s="22" t="s">
        <v>428</v>
      </c>
      <c r="D247" s="42">
        <v>6</v>
      </c>
      <c r="E247" s="42">
        <v>6</v>
      </c>
      <c r="F247" s="42">
        <v>1050</v>
      </c>
      <c r="G247" s="22">
        <v>60974</v>
      </c>
      <c r="H247" s="22"/>
      <c r="I247" s="39">
        <f>SUM(G247+H247)</f>
        <v>60974</v>
      </c>
      <c r="J247" s="402">
        <v>1050</v>
      </c>
      <c r="K247" s="407" t="e">
        <f t="shared" si="62"/>
        <v>#REF!</v>
      </c>
      <c r="L247" s="229" t="s">
        <v>553</v>
      </c>
      <c r="M247" s="179" t="e">
        <f>0.375*(2.34/3.43)*#REF!</f>
        <v>#REF!</v>
      </c>
      <c r="N247" s="169" t="e">
        <f t="shared" si="63"/>
        <v>#REF!</v>
      </c>
      <c r="O247" s="376">
        <v>2.3</v>
      </c>
      <c r="P247" s="42"/>
      <c r="Q247" s="22">
        <v>76</v>
      </c>
      <c r="R247" s="385">
        <v>593</v>
      </c>
      <c r="V247" s="38">
        <f t="shared" si="64"/>
        <v>16.32852</v>
      </c>
      <c r="W247" s="376">
        <v>0</v>
      </c>
      <c r="X247" s="42">
        <v>0</v>
      </c>
      <c r="Y247" s="393">
        <v>0</v>
      </c>
    </row>
    <row r="248" spans="1:25" ht="49.5" customHeight="1">
      <c r="A248" s="178">
        <v>3</v>
      </c>
      <c r="B248" s="22"/>
      <c r="C248" s="22" t="s">
        <v>429</v>
      </c>
      <c r="D248" s="42">
        <v>5.86</v>
      </c>
      <c r="E248" s="42">
        <v>5.86</v>
      </c>
      <c r="F248" s="42">
        <v>991</v>
      </c>
      <c r="G248" s="22">
        <v>67401</v>
      </c>
      <c r="H248" s="22"/>
      <c r="I248" s="39">
        <f>SUM(G248+H248)</f>
        <v>67401</v>
      </c>
      <c r="J248" s="402">
        <v>991</v>
      </c>
      <c r="K248" s="407" t="e">
        <f t="shared" si="62"/>
        <v>#REF!</v>
      </c>
      <c r="L248" s="229" t="s">
        <v>553</v>
      </c>
      <c r="M248" s="179" t="e">
        <f>0.375*(2.34/3.43)*#REF!</f>
        <v>#REF!</v>
      </c>
      <c r="N248" s="169" t="e">
        <f t="shared" si="63"/>
        <v>#REF!</v>
      </c>
      <c r="O248" s="376">
        <v>2.8</v>
      </c>
      <c r="P248" s="42"/>
      <c r="Q248" s="22">
        <v>68</v>
      </c>
      <c r="R248" s="385">
        <v>644</v>
      </c>
      <c r="V248" s="38">
        <f t="shared" si="64"/>
        <v>15.9475212</v>
      </c>
      <c r="W248" s="376">
        <v>0</v>
      </c>
      <c r="X248" s="42">
        <v>0</v>
      </c>
      <c r="Y248" s="393">
        <v>0</v>
      </c>
    </row>
    <row r="249" spans="1:25" ht="49.5" customHeight="1">
      <c r="A249" s="823">
        <v>4</v>
      </c>
      <c r="B249" s="22"/>
      <c r="C249" s="771" t="s">
        <v>430</v>
      </c>
      <c r="D249" s="773">
        <v>5.55</v>
      </c>
      <c r="E249" s="42">
        <f>SUM(5.55/51572)*G249</f>
        <v>4.8603932366400375</v>
      </c>
      <c r="F249" s="773">
        <v>1210</v>
      </c>
      <c r="G249" s="22">
        <v>45164</v>
      </c>
      <c r="H249" s="22"/>
      <c r="I249" s="770">
        <f>SUM(G249,H250)</f>
        <v>51572</v>
      </c>
      <c r="J249" s="814">
        <v>1210</v>
      </c>
      <c r="K249" s="407" t="e">
        <f t="shared" si="62"/>
        <v>#REF!</v>
      </c>
      <c r="L249" s="229" t="s">
        <v>553</v>
      </c>
      <c r="M249" s="179" t="e">
        <f>0.375*(2.34/3.43)*#REF!</f>
        <v>#REF!</v>
      </c>
      <c r="N249" s="169" t="e">
        <f t="shared" si="63"/>
        <v>#REF!</v>
      </c>
      <c r="O249" s="785">
        <v>5.8</v>
      </c>
      <c r="P249" s="773"/>
      <c r="Q249" s="771">
        <v>55</v>
      </c>
      <c r="R249" s="791">
        <v>1085</v>
      </c>
      <c r="V249" s="38">
        <f t="shared" si="64"/>
        <v>13.22717136205693</v>
      </c>
      <c r="W249" s="376">
        <v>0</v>
      </c>
      <c r="X249" s="42">
        <v>0</v>
      </c>
      <c r="Y249" s="393">
        <v>0</v>
      </c>
    </row>
    <row r="250" spans="1:25" ht="49.5" customHeight="1">
      <c r="A250" s="843"/>
      <c r="B250" s="22"/>
      <c r="C250" s="771"/>
      <c r="D250" s="773"/>
      <c r="E250" s="42">
        <f>SUM(5.55/51572)*H250</f>
        <v>0.6896067633599627</v>
      </c>
      <c r="F250" s="773"/>
      <c r="G250" s="22"/>
      <c r="H250" s="22">
        <v>6408</v>
      </c>
      <c r="I250" s="770"/>
      <c r="J250" s="815"/>
      <c r="K250" s="407" t="e">
        <f t="shared" si="62"/>
        <v>#REF!</v>
      </c>
      <c r="L250" s="229" t="s">
        <v>553</v>
      </c>
      <c r="M250" s="179" t="e">
        <f>0.375*(2.34/3.43)*#REF!</f>
        <v>#REF!</v>
      </c>
      <c r="N250" s="169" t="e">
        <f t="shared" si="63"/>
        <v>#REF!</v>
      </c>
      <c r="O250" s="785"/>
      <c r="P250" s="773"/>
      <c r="Q250" s="771"/>
      <c r="R250" s="791"/>
      <c r="V250" s="38">
        <f t="shared" si="64"/>
        <v>1.8767096379430697</v>
      </c>
      <c r="W250" s="376">
        <v>0</v>
      </c>
      <c r="X250" s="42">
        <v>0</v>
      </c>
      <c r="Y250" s="393">
        <v>0</v>
      </c>
    </row>
    <row r="251" spans="1:25" ht="49.5" customHeight="1">
      <c r="A251" s="823">
        <v>5</v>
      </c>
      <c r="B251" s="22"/>
      <c r="C251" s="771" t="s">
        <v>432</v>
      </c>
      <c r="D251" s="773">
        <v>1.31</v>
      </c>
      <c r="E251" s="42">
        <f>SUM(1.31/11529)*G251</f>
        <v>0.9505993581403418</v>
      </c>
      <c r="F251" s="773">
        <v>689</v>
      </c>
      <c r="G251" s="22">
        <v>8366</v>
      </c>
      <c r="H251" s="22"/>
      <c r="I251" s="770">
        <f>SUM(G251,H252)</f>
        <v>11529</v>
      </c>
      <c r="J251" s="814">
        <v>689</v>
      </c>
      <c r="K251" s="407" t="e">
        <f t="shared" si="62"/>
        <v>#REF!</v>
      </c>
      <c r="L251" s="229" t="s">
        <v>133</v>
      </c>
      <c r="M251" s="179" t="e">
        <f>0.29*(2.34/3.43)*#REF!</f>
        <v>#REF!</v>
      </c>
      <c r="N251" s="169" t="e">
        <f t="shared" si="63"/>
        <v>#REF!</v>
      </c>
      <c r="O251" s="785">
        <v>1.1</v>
      </c>
      <c r="P251" s="773">
        <v>0.52</v>
      </c>
      <c r="Q251" s="771">
        <v>46</v>
      </c>
      <c r="R251" s="791">
        <v>170</v>
      </c>
      <c r="V251" s="38">
        <f t="shared" si="64"/>
        <v>2.586980105230289</v>
      </c>
      <c r="W251" s="376">
        <v>0</v>
      </c>
      <c r="X251" s="42">
        <v>0</v>
      </c>
      <c r="Y251" s="393">
        <v>0</v>
      </c>
    </row>
    <row r="252" spans="1:25" ht="49.5" customHeight="1">
      <c r="A252" s="843"/>
      <c r="B252" s="22"/>
      <c r="C252" s="771"/>
      <c r="D252" s="773"/>
      <c r="E252" s="42">
        <f>SUM(1.31/11529)*H252</f>
        <v>0.35940064185965825</v>
      </c>
      <c r="F252" s="773"/>
      <c r="G252" s="22"/>
      <c r="H252" s="22">
        <v>3163</v>
      </c>
      <c r="I252" s="770"/>
      <c r="J252" s="815"/>
      <c r="K252" s="407" t="e">
        <f t="shared" si="62"/>
        <v>#REF!</v>
      </c>
      <c r="L252" s="229" t="s">
        <v>553</v>
      </c>
      <c r="M252" s="179" t="e">
        <f>0.375*(2.34/3.43)*#REF!</f>
        <v>#REF!</v>
      </c>
      <c r="N252" s="169" t="e">
        <f t="shared" si="63"/>
        <v>#REF!</v>
      </c>
      <c r="O252" s="785"/>
      <c r="P252" s="773"/>
      <c r="Q252" s="771"/>
      <c r="R252" s="791"/>
      <c r="V252" s="38">
        <f t="shared" si="64"/>
        <v>0.9780800947697111</v>
      </c>
      <c r="W252" s="376">
        <v>0</v>
      </c>
      <c r="X252" s="42">
        <v>0</v>
      </c>
      <c r="Y252" s="393">
        <v>0</v>
      </c>
    </row>
    <row r="253" spans="1:25" ht="49.5" customHeight="1">
      <c r="A253" s="178">
        <v>6</v>
      </c>
      <c r="B253" s="22"/>
      <c r="C253" s="22" t="s">
        <v>748</v>
      </c>
      <c r="D253" s="42">
        <v>6.1</v>
      </c>
      <c r="E253" s="42">
        <v>6.1</v>
      </c>
      <c r="F253" s="42">
        <v>1283</v>
      </c>
      <c r="G253" s="22"/>
      <c r="H253" s="22">
        <v>930</v>
      </c>
      <c r="I253" s="39">
        <f>SUM(G253+H253)</f>
        <v>930</v>
      </c>
      <c r="J253" s="402">
        <v>1283</v>
      </c>
      <c r="K253" s="407" t="e">
        <f t="shared" si="62"/>
        <v>#REF!</v>
      </c>
      <c r="L253" s="229" t="s">
        <v>553</v>
      </c>
      <c r="M253" s="179" t="e">
        <f>0.375*(2.34/3.43)*#REF!</f>
        <v>#REF!</v>
      </c>
      <c r="N253" s="169" t="e">
        <f t="shared" si="63"/>
        <v>#REF!</v>
      </c>
      <c r="O253" s="376">
        <v>4.4</v>
      </c>
      <c r="P253" s="42">
        <v>0.4</v>
      </c>
      <c r="Q253" s="22">
        <v>70</v>
      </c>
      <c r="R253" s="385">
        <v>1051</v>
      </c>
      <c r="V253" s="38">
        <f t="shared" si="64"/>
        <v>16.600662</v>
      </c>
      <c r="W253" s="376">
        <v>0</v>
      </c>
      <c r="X253" s="42">
        <v>0</v>
      </c>
      <c r="Y253" s="393">
        <v>0</v>
      </c>
    </row>
    <row r="254" spans="1:25" ht="49.5" customHeight="1" thickBot="1">
      <c r="A254" s="173">
        <v>7</v>
      </c>
      <c r="B254" s="47"/>
      <c r="C254" s="47" t="s">
        <v>425</v>
      </c>
      <c r="D254" s="49">
        <v>2.52</v>
      </c>
      <c r="E254" s="49">
        <v>2.52</v>
      </c>
      <c r="F254" s="49">
        <v>459</v>
      </c>
      <c r="G254" s="47"/>
      <c r="H254" s="47">
        <v>16117</v>
      </c>
      <c r="I254" s="160">
        <f>SUM(G254+H254)</f>
        <v>16117</v>
      </c>
      <c r="J254" s="403">
        <v>459</v>
      </c>
      <c r="K254" s="405" t="e">
        <f t="shared" si="62"/>
        <v>#REF!</v>
      </c>
      <c r="L254" s="232" t="s">
        <v>553</v>
      </c>
      <c r="M254" s="179" t="e">
        <f>0.375*(2.34/3.43)*#REF!</f>
        <v>#REF!</v>
      </c>
      <c r="N254" s="179" t="e">
        <f t="shared" si="63"/>
        <v>#REF!</v>
      </c>
      <c r="O254" s="377">
        <v>0.95</v>
      </c>
      <c r="P254" s="49">
        <v>1.07</v>
      </c>
      <c r="Q254" s="47">
        <v>32</v>
      </c>
      <c r="R254" s="386">
        <v>102</v>
      </c>
      <c r="V254" s="162">
        <f t="shared" si="64"/>
        <v>6.8579784</v>
      </c>
      <c r="W254" s="377">
        <v>0</v>
      </c>
      <c r="X254" s="49">
        <v>0</v>
      </c>
      <c r="Y254" s="394">
        <v>0</v>
      </c>
    </row>
    <row r="255" spans="1:25" s="231" customFormat="1" ht="61.5" customHeight="1" thickBot="1">
      <c r="A255" s="198"/>
      <c r="B255" s="200" t="s">
        <v>441</v>
      </c>
      <c r="C255" s="200">
        <v>7</v>
      </c>
      <c r="D255" s="199">
        <f aca="true" t="shared" si="65" ref="D255:P255">SUM(D245:D254)</f>
        <v>33.64</v>
      </c>
      <c r="E255" s="199">
        <f t="shared" si="65"/>
        <v>33.64</v>
      </c>
      <c r="F255" s="199">
        <f t="shared" si="65"/>
        <v>7040</v>
      </c>
      <c r="G255" s="200">
        <f t="shared" si="65"/>
        <v>244444</v>
      </c>
      <c r="H255" s="200">
        <f t="shared" si="65"/>
        <v>35260</v>
      </c>
      <c r="I255" s="200">
        <f t="shared" si="65"/>
        <v>279704</v>
      </c>
      <c r="J255" s="404">
        <f t="shared" si="65"/>
        <v>7040</v>
      </c>
      <c r="K255" s="406" t="e">
        <f>SUM(K245:K254)</f>
        <v>#REF!</v>
      </c>
      <c r="L255" s="220"/>
      <c r="M255" s="199" t="e">
        <f>K255/I255</f>
        <v>#REF!</v>
      </c>
      <c r="N255" s="175" t="e">
        <f>SUM(N245:N254)</f>
        <v>#REF!</v>
      </c>
      <c r="O255" s="378">
        <f t="shared" si="65"/>
        <v>21.710000000000004</v>
      </c>
      <c r="P255" s="199">
        <f t="shared" si="65"/>
        <v>1.9900000000000002</v>
      </c>
      <c r="Q255" s="200">
        <f>SUM(Q245:Q254)/7</f>
        <v>60.285714285714285</v>
      </c>
      <c r="R255" s="387">
        <f>SUM(R245:R254)</f>
        <v>4987</v>
      </c>
      <c r="V255" s="199">
        <f>SUM(V245:V254)</f>
        <v>91.5485688</v>
      </c>
      <c r="W255" s="378">
        <f>SUM(W245:W254)</f>
        <v>0</v>
      </c>
      <c r="X255" s="199">
        <f>SUM(X245:X254)</f>
        <v>0</v>
      </c>
      <c r="Y255" s="395">
        <f>SUM(Y245:Y254)</f>
        <v>0</v>
      </c>
    </row>
    <row r="256" spans="1:25" s="231" customFormat="1" ht="49.5" customHeight="1">
      <c r="A256" s="221"/>
      <c r="B256" s="223" t="s">
        <v>854</v>
      </c>
      <c r="C256" s="223"/>
      <c r="D256" s="222"/>
      <c r="E256" s="222"/>
      <c r="F256" s="222"/>
      <c r="G256" s="223"/>
      <c r="H256" s="223"/>
      <c r="I256" s="223"/>
      <c r="J256" s="409"/>
      <c r="K256" s="409"/>
      <c r="L256" s="223"/>
      <c r="M256" s="222"/>
      <c r="N256" s="222"/>
      <c r="O256" s="382"/>
      <c r="P256" s="222"/>
      <c r="Q256" s="223"/>
      <c r="R256" s="389"/>
      <c r="V256" s="222"/>
      <c r="W256" s="382"/>
      <c r="X256" s="222"/>
      <c r="Y256" s="398"/>
    </row>
    <row r="257" spans="1:25" ht="49.5" customHeight="1">
      <c r="A257" s="823">
        <v>1</v>
      </c>
      <c r="B257" s="22"/>
      <c r="C257" s="771" t="s">
        <v>443</v>
      </c>
      <c r="D257" s="773">
        <v>5.76</v>
      </c>
      <c r="E257" s="42">
        <f>SUM(5.76/40195)*G257</f>
        <v>4.838571961686776</v>
      </c>
      <c r="F257" s="773">
        <v>1000</v>
      </c>
      <c r="G257" s="22">
        <v>33765</v>
      </c>
      <c r="H257" s="22"/>
      <c r="I257" s="770">
        <f>SUM(G257,H258,H259,H260,H261)</f>
        <v>40195</v>
      </c>
      <c r="J257" s="814">
        <v>1000</v>
      </c>
      <c r="K257" s="407" t="e">
        <f aca="true" t="shared" si="66" ref="K257:K273">SUM(M257)*(G257+H257)</f>
        <v>#REF!</v>
      </c>
      <c r="L257" s="229" t="s">
        <v>553</v>
      </c>
      <c r="M257" s="179" t="e">
        <f>0.375*(2.34/3.43)*#REF!</f>
        <v>#REF!</v>
      </c>
      <c r="N257" s="169" t="e">
        <f aca="true" t="shared" si="67" ref="N257:N273">SUM(K257*0.05)</f>
        <v>#REF!</v>
      </c>
      <c r="O257" s="785">
        <v>4.43</v>
      </c>
      <c r="P257" s="773"/>
      <c r="Q257" s="771">
        <v>63</v>
      </c>
      <c r="R257" s="791">
        <v>630</v>
      </c>
      <c r="V257" s="38">
        <f>SUM(E257*2.34*1.163)</f>
        <v>13.167786507973625</v>
      </c>
      <c r="W257" s="376">
        <v>0</v>
      </c>
      <c r="X257" s="42">
        <v>0</v>
      </c>
      <c r="Y257" s="393">
        <v>0</v>
      </c>
    </row>
    <row r="258" spans="1:25" ht="49.5" customHeight="1">
      <c r="A258" s="841"/>
      <c r="B258" s="22"/>
      <c r="C258" s="771"/>
      <c r="D258" s="773"/>
      <c r="E258" s="42">
        <f>SUM(5.76/40195)*H258</f>
        <v>0.04700286105236969</v>
      </c>
      <c r="F258" s="773"/>
      <c r="G258" s="22"/>
      <c r="H258" s="22">
        <v>328</v>
      </c>
      <c r="I258" s="770"/>
      <c r="J258" s="816"/>
      <c r="K258" s="407" t="e">
        <f t="shared" si="66"/>
        <v>#REF!</v>
      </c>
      <c r="L258" s="229" t="s">
        <v>133</v>
      </c>
      <c r="M258" s="179" t="e">
        <f>0.29*(2.34/3.43)*#REF!</f>
        <v>#REF!</v>
      </c>
      <c r="N258" s="169" t="e">
        <f t="shared" si="67"/>
        <v>#REF!</v>
      </c>
      <c r="O258" s="785"/>
      <c r="P258" s="773"/>
      <c r="Q258" s="771"/>
      <c r="R258" s="791"/>
      <c r="V258" s="38">
        <f aca="true" t="shared" si="68" ref="V258:V272">SUM(E258*2.34*1.163)</f>
        <v>0.12791452612513993</v>
      </c>
      <c r="W258" s="376">
        <v>0</v>
      </c>
      <c r="X258" s="42">
        <v>0</v>
      </c>
      <c r="Y258" s="393">
        <v>0</v>
      </c>
    </row>
    <row r="259" spans="1:25" ht="49.5" customHeight="1">
      <c r="A259" s="841"/>
      <c r="B259" s="22"/>
      <c r="C259" s="771"/>
      <c r="D259" s="773"/>
      <c r="E259" s="42">
        <f>SUM(5.76/40195)*H259</f>
        <v>0.13470332130862048</v>
      </c>
      <c r="F259" s="773"/>
      <c r="G259" s="22"/>
      <c r="H259" s="22">
        <v>940</v>
      </c>
      <c r="I259" s="770"/>
      <c r="J259" s="816"/>
      <c r="K259" s="407" t="e">
        <f t="shared" si="66"/>
        <v>#REF!</v>
      </c>
      <c r="L259" s="229" t="s">
        <v>133</v>
      </c>
      <c r="M259" s="179" t="e">
        <f>0.29*(2.34/3.43)*#REF!</f>
        <v>#REF!</v>
      </c>
      <c r="N259" s="169" t="e">
        <f t="shared" si="67"/>
        <v>#REF!</v>
      </c>
      <c r="O259" s="785"/>
      <c r="P259" s="773"/>
      <c r="Q259" s="771"/>
      <c r="R259" s="791"/>
      <c r="V259" s="38">
        <f t="shared" si="68"/>
        <v>0.36658431267570596</v>
      </c>
      <c r="W259" s="376">
        <v>0</v>
      </c>
      <c r="X259" s="42">
        <v>0</v>
      </c>
      <c r="Y259" s="393">
        <v>0</v>
      </c>
    </row>
    <row r="260" spans="1:25" ht="49.5" customHeight="1">
      <c r="A260" s="841"/>
      <c r="B260" s="22"/>
      <c r="C260" s="771"/>
      <c r="D260" s="773"/>
      <c r="E260" s="42">
        <f>SUM(5.76/40195)*H260</f>
        <v>0.6696474685906206</v>
      </c>
      <c r="F260" s="773"/>
      <c r="G260" s="22"/>
      <c r="H260" s="22">
        <v>4673</v>
      </c>
      <c r="I260" s="770"/>
      <c r="J260" s="816"/>
      <c r="K260" s="407" t="e">
        <f t="shared" si="66"/>
        <v>#REF!</v>
      </c>
      <c r="L260" s="229" t="s">
        <v>133</v>
      </c>
      <c r="M260" s="179" t="e">
        <f>0.29*(2.34/3.43)*#REF!</f>
        <v>#REF!</v>
      </c>
      <c r="N260" s="169" t="e">
        <f t="shared" si="67"/>
        <v>#REF!</v>
      </c>
      <c r="O260" s="785"/>
      <c r="P260" s="773"/>
      <c r="Q260" s="771"/>
      <c r="R260" s="791"/>
      <c r="V260" s="38">
        <f t="shared" si="68"/>
        <v>1.8223920139718868</v>
      </c>
      <c r="W260" s="376">
        <v>0</v>
      </c>
      <c r="X260" s="42">
        <v>0</v>
      </c>
      <c r="Y260" s="393">
        <v>0</v>
      </c>
    </row>
    <row r="261" spans="1:25" ht="49.5" customHeight="1">
      <c r="A261" s="843"/>
      <c r="B261" s="22"/>
      <c r="C261" s="771"/>
      <c r="D261" s="773"/>
      <c r="E261" s="42">
        <f>SUM(5.76/40195)*H261</f>
        <v>0.07007438736161213</v>
      </c>
      <c r="F261" s="773"/>
      <c r="G261" s="22"/>
      <c r="H261" s="22">
        <v>489</v>
      </c>
      <c r="I261" s="770"/>
      <c r="J261" s="815"/>
      <c r="K261" s="407" t="e">
        <f t="shared" si="66"/>
        <v>#REF!</v>
      </c>
      <c r="L261" s="229" t="s">
        <v>133</v>
      </c>
      <c r="M261" s="179" t="e">
        <f>0.29*(2.34/3.43)*#REF!</f>
        <v>#REF!</v>
      </c>
      <c r="N261" s="169" t="e">
        <f t="shared" si="67"/>
        <v>#REF!</v>
      </c>
      <c r="O261" s="785"/>
      <c r="P261" s="773"/>
      <c r="Q261" s="771"/>
      <c r="R261" s="791"/>
      <c r="V261" s="38">
        <f t="shared" si="68"/>
        <v>0.19070183925363848</v>
      </c>
      <c r="W261" s="376">
        <v>0</v>
      </c>
      <c r="X261" s="42">
        <v>0</v>
      </c>
      <c r="Y261" s="393">
        <v>0</v>
      </c>
    </row>
    <row r="262" spans="1:25" ht="58.5" customHeight="1">
      <c r="A262" s="178">
        <v>2</v>
      </c>
      <c r="B262" s="22"/>
      <c r="C262" s="22" t="s">
        <v>448</v>
      </c>
      <c r="D262" s="42">
        <v>5.76</v>
      </c>
      <c r="E262" s="42">
        <v>5.76</v>
      </c>
      <c r="F262" s="42">
        <v>1105</v>
      </c>
      <c r="G262" s="22">
        <v>66074</v>
      </c>
      <c r="H262" s="22"/>
      <c r="I262" s="39">
        <f>SUM(G262+H262)</f>
        <v>66074</v>
      </c>
      <c r="J262" s="402">
        <v>1105</v>
      </c>
      <c r="K262" s="407" t="e">
        <f t="shared" si="66"/>
        <v>#REF!</v>
      </c>
      <c r="L262" s="229" t="s">
        <v>133</v>
      </c>
      <c r="M262" s="179" t="e">
        <f>0.29*(2.34/3.43)*#REF!</f>
        <v>#REF!</v>
      </c>
      <c r="N262" s="169" t="e">
        <f t="shared" si="67"/>
        <v>#REF!</v>
      </c>
      <c r="O262" s="376">
        <v>4.75</v>
      </c>
      <c r="P262" s="42"/>
      <c r="Q262" s="22">
        <v>29</v>
      </c>
      <c r="R262" s="385">
        <v>420</v>
      </c>
      <c r="V262" s="38">
        <f t="shared" si="68"/>
        <v>15.675379199999998</v>
      </c>
      <c r="W262" s="376">
        <v>0</v>
      </c>
      <c r="X262" s="42">
        <v>0</v>
      </c>
      <c r="Y262" s="393">
        <v>0</v>
      </c>
    </row>
    <row r="263" spans="1:25" ht="49.5" customHeight="1">
      <c r="A263" s="823">
        <v>3</v>
      </c>
      <c r="B263" s="22"/>
      <c r="C263" s="771" t="s">
        <v>451</v>
      </c>
      <c r="D263" s="773">
        <v>4.32</v>
      </c>
      <c r="E263" s="42">
        <f>SUM(4.32/53714)*G263</f>
        <v>3.8422697993074437</v>
      </c>
      <c r="F263" s="773">
        <v>989</v>
      </c>
      <c r="G263" s="22">
        <v>47774</v>
      </c>
      <c r="H263" s="22"/>
      <c r="I263" s="770">
        <f>SUM(G263+H264+H265)</f>
        <v>53714</v>
      </c>
      <c r="J263" s="814">
        <v>989</v>
      </c>
      <c r="K263" s="407" t="e">
        <f t="shared" si="66"/>
        <v>#REF!</v>
      </c>
      <c r="L263" s="229" t="s">
        <v>56</v>
      </c>
      <c r="M263" s="169" t="e">
        <f>0.242*(2.34/3.43)*#REF!</f>
        <v>#REF!</v>
      </c>
      <c r="N263" s="169" t="e">
        <f t="shared" si="67"/>
        <v>#REF!</v>
      </c>
      <c r="O263" s="785">
        <v>3.94</v>
      </c>
      <c r="P263" s="773">
        <v>3.31</v>
      </c>
      <c r="Q263" s="771">
        <v>50</v>
      </c>
      <c r="R263" s="791">
        <v>450</v>
      </c>
      <c r="V263" s="38">
        <f t="shared" si="68"/>
        <v>10.456429877231264</v>
      </c>
      <c r="W263" s="376">
        <v>0</v>
      </c>
      <c r="X263" s="42">
        <v>0</v>
      </c>
      <c r="Y263" s="393">
        <v>0</v>
      </c>
    </row>
    <row r="264" spans="1:25" ht="49.5" customHeight="1">
      <c r="A264" s="826"/>
      <c r="B264" s="22"/>
      <c r="C264" s="771"/>
      <c r="D264" s="773"/>
      <c r="E264" s="42">
        <f>SUM(4.32/53714)*H264</f>
        <v>0.40775961574263697</v>
      </c>
      <c r="F264" s="773"/>
      <c r="G264" s="22"/>
      <c r="H264" s="22">
        <v>5070</v>
      </c>
      <c r="I264" s="770"/>
      <c r="J264" s="816"/>
      <c r="K264" s="407" t="e">
        <f t="shared" si="66"/>
        <v>#REF!</v>
      </c>
      <c r="L264" s="229" t="s">
        <v>553</v>
      </c>
      <c r="M264" s="179" t="e">
        <f>0.375*(2.34/3.43)*#REF!</f>
        <v>#REF!</v>
      </c>
      <c r="N264" s="169" t="e">
        <f t="shared" si="67"/>
        <v>#REF!</v>
      </c>
      <c r="O264" s="785"/>
      <c r="P264" s="773"/>
      <c r="Q264" s="771"/>
      <c r="R264" s="791"/>
      <c r="V264" s="38">
        <f t="shared" si="68"/>
        <v>1.109685173474327</v>
      </c>
      <c r="W264" s="376">
        <v>0</v>
      </c>
      <c r="X264" s="42">
        <v>0</v>
      </c>
      <c r="Y264" s="393">
        <v>0</v>
      </c>
    </row>
    <row r="265" spans="1:25" ht="49.5" customHeight="1">
      <c r="A265" s="843"/>
      <c r="B265" s="22"/>
      <c r="C265" s="771"/>
      <c r="D265" s="773"/>
      <c r="E265" s="42">
        <f>SUM(4.32/53714)*H265</f>
        <v>0.06997058494991995</v>
      </c>
      <c r="F265" s="773"/>
      <c r="G265" s="22"/>
      <c r="H265" s="22">
        <v>870</v>
      </c>
      <c r="I265" s="770"/>
      <c r="J265" s="815"/>
      <c r="K265" s="407" t="e">
        <f t="shared" si="66"/>
        <v>#REF!</v>
      </c>
      <c r="L265" s="229" t="s">
        <v>553</v>
      </c>
      <c r="M265" s="179" t="e">
        <f>0.375*(2.34/3.43)*#REF!</f>
        <v>#REF!</v>
      </c>
      <c r="N265" s="169" t="e">
        <f t="shared" si="67"/>
        <v>#REF!</v>
      </c>
      <c r="O265" s="785"/>
      <c r="P265" s="773"/>
      <c r="Q265" s="771"/>
      <c r="R265" s="791"/>
      <c r="V265" s="38">
        <f t="shared" si="68"/>
        <v>0.19041934929441115</v>
      </c>
      <c r="W265" s="376">
        <v>0</v>
      </c>
      <c r="X265" s="42">
        <v>0</v>
      </c>
      <c r="Y265" s="393">
        <v>0</v>
      </c>
    </row>
    <row r="266" spans="1:25" ht="49.5" customHeight="1">
      <c r="A266" s="823">
        <v>4</v>
      </c>
      <c r="B266" s="22"/>
      <c r="C266" s="771" t="s">
        <v>452</v>
      </c>
      <c r="D266" s="773">
        <v>5.04</v>
      </c>
      <c r="E266" s="42">
        <f>SUM(5.04/32055)*G266</f>
        <v>3.959831539541413</v>
      </c>
      <c r="F266" s="773">
        <v>995</v>
      </c>
      <c r="G266" s="22">
        <v>25185</v>
      </c>
      <c r="H266" s="22"/>
      <c r="I266" s="770">
        <f>SUM(G266,H267,H268,H269,H270,H271,H272)</f>
        <v>32055</v>
      </c>
      <c r="J266" s="814">
        <v>995</v>
      </c>
      <c r="K266" s="407" t="e">
        <f t="shared" si="66"/>
        <v>#REF!</v>
      </c>
      <c r="L266" s="229" t="s">
        <v>56</v>
      </c>
      <c r="M266" s="169" t="e">
        <f>0.242*(2.34/3.43)*#REF!</f>
        <v>#REF!</v>
      </c>
      <c r="N266" s="169" t="e">
        <f t="shared" si="67"/>
        <v>#REF!</v>
      </c>
      <c r="O266" s="785">
        <v>2.98</v>
      </c>
      <c r="P266" s="773">
        <v>2.26</v>
      </c>
      <c r="Q266" s="771">
        <v>34</v>
      </c>
      <c r="R266" s="791">
        <v>300</v>
      </c>
      <c r="V266" s="38">
        <f t="shared" si="68"/>
        <v>10.776364748338793</v>
      </c>
      <c r="W266" s="376">
        <v>0</v>
      </c>
      <c r="X266" s="42">
        <v>0</v>
      </c>
      <c r="Y266" s="393">
        <v>0</v>
      </c>
    </row>
    <row r="267" spans="1:25" ht="49.5" customHeight="1">
      <c r="A267" s="841"/>
      <c r="B267" s="22"/>
      <c r="C267" s="771"/>
      <c r="D267" s="773"/>
      <c r="E267" s="42">
        <f aca="true" t="shared" si="69" ref="E267:E272">SUM(5.04/32055)*H267</f>
        <v>0.12484043051006084</v>
      </c>
      <c r="F267" s="773"/>
      <c r="G267" s="22"/>
      <c r="H267" s="22">
        <v>794</v>
      </c>
      <c r="I267" s="770"/>
      <c r="J267" s="816"/>
      <c r="K267" s="407" t="e">
        <f t="shared" si="66"/>
        <v>#REF!</v>
      </c>
      <c r="L267" s="229" t="s">
        <v>553</v>
      </c>
      <c r="M267" s="179" t="e">
        <f>0.375*(2.34/3.43)*#REF!</f>
        <v>#REF!</v>
      </c>
      <c r="N267" s="169" t="e">
        <f t="shared" si="67"/>
        <v>#REF!</v>
      </c>
      <c r="O267" s="785"/>
      <c r="P267" s="773"/>
      <c r="Q267" s="771"/>
      <c r="R267" s="791"/>
      <c r="V267" s="38">
        <f t="shared" si="68"/>
        <v>0.33974324439868975</v>
      </c>
      <c r="W267" s="376">
        <v>0</v>
      </c>
      <c r="X267" s="42">
        <v>0</v>
      </c>
      <c r="Y267" s="393">
        <v>0</v>
      </c>
    </row>
    <row r="268" spans="1:25" ht="49.5" customHeight="1">
      <c r="A268" s="841"/>
      <c r="B268" s="22"/>
      <c r="C268" s="771"/>
      <c r="D268" s="773"/>
      <c r="E268" s="42">
        <f t="shared" si="69"/>
        <v>0.5113111839026673</v>
      </c>
      <c r="F268" s="773"/>
      <c r="G268" s="22"/>
      <c r="H268" s="22">
        <v>3252</v>
      </c>
      <c r="I268" s="770"/>
      <c r="J268" s="816"/>
      <c r="K268" s="407" t="e">
        <f t="shared" si="66"/>
        <v>#REF!</v>
      </c>
      <c r="L268" s="229" t="s">
        <v>553</v>
      </c>
      <c r="M268" s="179" t="e">
        <f>0.375*(2.34/3.43)*#REF!</f>
        <v>#REF!</v>
      </c>
      <c r="N268" s="169" t="e">
        <f t="shared" si="67"/>
        <v>#REF!</v>
      </c>
      <c r="O268" s="785"/>
      <c r="P268" s="773"/>
      <c r="Q268" s="771"/>
      <c r="R268" s="791"/>
      <c r="V268" s="38">
        <f t="shared" si="68"/>
        <v>1.3914924820963968</v>
      </c>
      <c r="W268" s="376">
        <v>0</v>
      </c>
      <c r="X268" s="42">
        <v>0</v>
      </c>
      <c r="Y268" s="393">
        <v>0</v>
      </c>
    </row>
    <row r="269" spans="1:25" ht="49.5" customHeight="1">
      <c r="A269" s="841"/>
      <c r="B269" s="22"/>
      <c r="C269" s="771"/>
      <c r="D269" s="773"/>
      <c r="E269" s="42">
        <f t="shared" si="69"/>
        <v>0.10613008890968648</v>
      </c>
      <c r="F269" s="773"/>
      <c r="G269" s="22"/>
      <c r="H269" s="22">
        <v>675</v>
      </c>
      <c r="I269" s="770"/>
      <c r="J269" s="816"/>
      <c r="K269" s="407" t="e">
        <f t="shared" si="66"/>
        <v>#REF!</v>
      </c>
      <c r="L269" s="229" t="s">
        <v>133</v>
      </c>
      <c r="M269" s="179" t="e">
        <f>0.29*(2.34/3.43)*#REF!</f>
        <v>#REF!</v>
      </c>
      <c r="N269" s="169" t="e">
        <f t="shared" si="67"/>
        <v>#REF!</v>
      </c>
      <c r="O269" s="785"/>
      <c r="P269" s="773"/>
      <c r="Q269" s="771"/>
      <c r="R269" s="791"/>
      <c r="V269" s="38">
        <f t="shared" si="68"/>
        <v>0.28882454656059897</v>
      </c>
      <c r="W269" s="376">
        <v>0</v>
      </c>
      <c r="X269" s="42">
        <v>0</v>
      </c>
      <c r="Y269" s="393">
        <v>0</v>
      </c>
    </row>
    <row r="270" spans="1:25" ht="49.5" customHeight="1">
      <c r="A270" s="841"/>
      <c r="B270" s="22"/>
      <c r="C270" s="771"/>
      <c r="D270" s="773"/>
      <c r="E270" s="42">
        <f t="shared" si="69"/>
        <v>0.13820496022461395</v>
      </c>
      <c r="F270" s="773"/>
      <c r="G270" s="22"/>
      <c r="H270" s="22">
        <v>879</v>
      </c>
      <c r="I270" s="770"/>
      <c r="J270" s="816"/>
      <c r="K270" s="407" t="e">
        <f t="shared" si="66"/>
        <v>#REF!</v>
      </c>
      <c r="L270" s="229" t="s">
        <v>553</v>
      </c>
      <c r="M270" s="179" t="e">
        <f>0.375*(2.34/3.43)*#REF!</f>
        <v>#REF!</v>
      </c>
      <c r="N270" s="169" t="e">
        <f t="shared" si="67"/>
        <v>#REF!</v>
      </c>
      <c r="O270" s="785"/>
      <c r="P270" s="773"/>
      <c r="Q270" s="771"/>
      <c r="R270" s="791"/>
      <c r="V270" s="38">
        <f t="shared" si="68"/>
        <v>0.37611374285446886</v>
      </c>
      <c r="W270" s="376">
        <v>0</v>
      </c>
      <c r="X270" s="42">
        <v>0</v>
      </c>
      <c r="Y270" s="393">
        <v>0</v>
      </c>
    </row>
    <row r="271" spans="1:25" ht="49.5" customHeight="1">
      <c r="A271" s="841"/>
      <c r="B271" s="22"/>
      <c r="C271" s="771"/>
      <c r="D271" s="773"/>
      <c r="E271" s="42">
        <f t="shared" si="69"/>
        <v>0.1465381375760412</v>
      </c>
      <c r="F271" s="773"/>
      <c r="G271" s="22"/>
      <c r="H271" s="22">
        <v>932</v>
      </c>
      <c r="I271" s="770"/>
      <c r="J271" s="816"/>
      <c r="K271" s="407" t="e">
        <f t="shared" si="66"/>
        <v>#REF!</v>
      </c>
      <c r="L271" s="229" t="s">
        <v>553</v>
      </c>
      <c r="M271" s="179" t="e">
        <f>0.375*(2.34/3.43)*#REF!</f>
        <v>#REF!</v>
      </c>
      <c r="N271" s="169" t="e">
        <f t="shared" si="67"/>
        <v>#REF!</v>
      </c>
      <c r="O271" s="785"/>
      <c r="P271" s="773"/>
      <c r="Q271" s="771"/>
      <c r="R271" s="791"/>
      <c r="V271" s="38">
        <f t="shared" si="68"/>
        <v>0.39879181836219</v>
      </c>
      <c r="W271" s="376">
        <v>0</v>
      </c>
      <c r="X271" s="42">
        <v>0</v>
      </c>
      <c r="Y271" s="393">
        <v>0</v>
      </c>
    </row>
    <row r="272" spans="1:25" ht="49.5" customHeight="1">
      <c r="A272" s="843"/>
      <c r="B272" s="22"/>
      <c r="C272" s="771"/>
      <c r="D272" s="773"/>
      <c r="E272" s="42">
        <f t="shared" si="69"/>
        <v>0.05314365933551708</v>
      </c>
      <c r="F272" s="773"/>
      <c r="G272" s="22"/>
      <c r="H272" s="22">
        <v>338</v>
      </c>
      <c r="I272" s="770"/>
      <c r="J272" s="815"/>
      <c r="K272" s="407" t="e">
        <f t="shared" si="66"/>
        <v>#REF!</v>
      </c>
      <c r="L272" s="229" t="s">
        <v>133</v>
      </c>
      <c r="M272" s="179" t="e">
        <f>0.29*(2.34/3.43)*#REF!</f>
        <v>#REF!</v>
      </c>
      <c r="N272" s="169" t="e">
        <f t="shared" si="67"/>
        <v>#REF!</v>
      </c>
      <c r="O272" s="785"/>
      <c r="P272" s="773"/>
      <c r="Q272" s="771"/>
      <c r="R272" s="791"/>
      <c r="V272" s="38">
        <f t="shared" si="68"/>
        <v>0.1446262173888629</v>
      </c>
      <c r="W272" s="376">
        <v>0</v>
      </c>
      <c r="X272" s="42">
        <v>0</v>
      </c>
      <c r="Y272" s="393">
        <v>0</v>
      </c>
    </row>
    <row r="273" spans="1:25" ht="64.5" customHeight="1" thickBot="1">
      <c r="A273" s="173">
        <v>5</v>
      </c>
      <c r="B273" s="47"/>
      <c r="C273" s="47" t="s">
        <v>455</v>
      </c>
      <c r="D273" s="49">
        <v>5.76</v>
      </c>
      <c r="E273" s="49">
        <v>5.76</v>
      </c>
      <c r="F273" s="49">
        <v>1100</v>
      </c>
      <c r="G273" s="47">
        <v>66092</v>
      </c>
      <c r="H273" s="47"/>
      <c r="I273" s="160">
        <f>SUM(G273+H273)</f>
        <v>66092</v>
      </c>
      <c r="J273" s="403">
        <v>1100</v>
      </c>
      <c r="K273" s="405" t="e">
        <f t="shared" si="66"/>
        <v>#REF!</v>
      </c>
      <c r="L273" s="232" t="s">
        <v>133</v>
      </c>
      <c r="M273" s="179" t="e">
        <f>0.29*(2.34/3.43)*#REF!</f>
        <v>#REF!</v>
      </c>
      <c r="N273" s="179" t="e">
        <f t="shared" si="67"/>
        <v>#REF!</v>
      </c>
      <c r="O273" s="377">
        <v>3.3</v>
      </c>
      <c r="P273" s="49"/>
      <c r="Q273" s="47">
        <v>52</v>
      </c>
      <c r="R273" s="386">
        <v>510</v>
      </c>
      <c r="V273" s="162">
        <f>SUM(E273*3.43*1.163)</f>
        <v>22.977158400000004</v>
      </c>
      <c r="W273" s="377">
        <v>0</v>
      </c>
      <c r="X273" s="49">
        <v>0</v>
      </c>
      <c r="Y273" s="394">
        <v>0</v>
      </c>
    </row>
    <row r="274" spans="1:25" s="231" customFormat="1" ht="64.5" customHeight="1" thickBot="1">
      <c r="A274" s="219"/>
      <c r="B274" s="220" t="s">
        <v>80</v>
      </c>
      <c r="C274" s="220">
        <f>A273</f>
        <v>5</v>
      </c>
      <c r="D274" s="175">
        <f>SUM(D257:D273)</f>
        <v>26.64</v>
      </c>
      <c r="E274" s="175">
        <f aca="true" t="shared" si="70" ref="E274:Y274">SUM(E257:E273)</f>
        <v>26.64</v>
      </c>
      <c r="F274" s="175">
        <f t="shared" si="70"/>
        <v>5189</v>
      </c>
      <c r="G274" s="220">
        <f t="shared" si="70"/>
        <v>238890</v>
      </c>
      <c r="H274" s="220">
        <f t="shared" si="70"/>
        <v>19240</v>
      </c>
      <c r="I274" s="220">
        <f t="shared" si="70"/>
        <v>258130</v>
      </c>
      <c r="J274" s="406">
        <f t="shared" si="70"/>
        <v>5189</v>
      </c>
      <c r="K274" s="406" t="e">
        <f>SUM(K257:K273)</f>
        <v>#REF!</v>
      </c>
      <c r="L274" s="220"/>
      <c r="M274" s="199" t="e">
        <f>K274/I274</f>
        <v>#REF!</v>
      </c>
      <c r="N274" s="175" t="e">
        <f>SUM(N257:N273)</f>
        <v>#REF!</v>
      </c>
      <c r="O274" s="380">
        <f t="shared" si="70"/>
        <v>19.4</v>
      </c>
      <c r="P274" s="175">
        <f t="shared" si="70"/>
        <v>5.57</v>
      </c>
      <c r="Q274" s="220">
        <f>SUM(Q257:Q273)/5</f>
        <v>45.6</v>
      </c>
      <c r="R274" s="390">
        <f t="shared" si="70"/>
        <v>2310</v>
      </c>
      <c r="V274" s="175">
        <f t="shared" si="70"/>
        <v>79.800408</v>
      </c>
      <c r="W274" s="380">
        <f t="shared" si="70"/>
        <v>0</v>
      </c>
      <c r="X274" s="175">
        <f t="shared" si="70"/>
        <v>0</v>
      </c>
      <c r="Y274" s="396">
        <f t="shared" si="70"/>
        <v>0</v>
      </c>
    </row>
    <row r="275" spans="1:25" s="231" customFormat="1" ht="64.5" customHeight="1">
      <c r="A275" s="221"/>
      <c r="B275" s="223" t="s">
        <v>453</v>
      </c>
      <c r="C275" s="223"/>
      <c r="D275" s="222"/>
      <c r="E275" s="222"/>
      <c r="F275" s="222"/>
      <c r="G275" s="223"/>
      <c r="H275" s="223"/>
      <c r="I275" s="223"/>
      <c r="J275" s="409"/>
      <c r="K275" s="410"/>
      <c r="L275" s="151"/>
      <c r="M275" s="197"/>
      <c r="N275" s="197"/>
      <c r="O275" s="382"/>
      <c r="P275" s="222"/>
      <c r="Q275" s="223"/>
      <c r="R275" s="389"/>
      <c r="V275" s="222"/>
      <c r="W275" s="382"/>
      <c r="X275" s="222"/>
      <c r="Y275" s="398"/>
    </row>
    <row r="276" spans="1:25" ht="49.5" customHeight="1">
      <c r="A276" s="823">
        <v>1</v>
      </c>
      <c r="B276" s="247"/>
      <c r="C276" s="771" t="s">
        <v>734</v>
      </c>
      <c r="D276" s="773">
        <v>5.6</v>
      </c>
      <c r="E276" s="42">
        <f>SUM(5.6/24699)*G276</f>
        <v>4.881266448034333</v>
      </c>
      <c r="F276" s="773">
        <v>224</v>
      </c>
      <c r="G276" s="22">
        <v>21529</v>
      </c>
      <c r="H276" s="22"/>
      <c r="I276" s="770">
        <f>SUM(G276,H277,H278,H279,H280,H281,H282)</f>
        <v>24699</v>
      </c>
      <c r="J276" s="814">
        <v>224</v>
      </c>
      <c r="K276" s="407" t="e">
        <f aca="true" t="shared" si="71" ref="K276:K282">SUM(M276)*(G276+H276)</f>
        <v>#REF!</v>
      </c>
      <c r="L276" s="229" t="s">
        <v>133</v>
      </c>
      <c r="M276" s="179" t="e">
        <f>0.29*(2.34/3.43)*#REF!</f>
        <v>#REF!</v>
      </c>
      <c r="N276" s="169" t="e">
        <f aca="true" t="shared" si="72" ref="N276:N282">SUM(K276*0.05)</f>
        <v>#REF!</v>
      </c>
      <c r="O276" s="785">
        <v>3.6</v>
      </c>
      <c r="P276" s="773">
        <v>1.4</v>
      </c>
      <c r="Q276" s="771">
        <v>28</v>
      </c>
      <c r="R276" s="791">
        <v>300</v>
      </c>
      <c r="V276" s="38">
        <f>SUM(E276*2.34*1.163)</f>
        <v>13.283976137009596</v>
      </c>
      <c r="W276" s="376">
        <v>0</v>
      </c>
      <c r="X276" s="42">
        <v>0</v>
      </c>
      <c r="Y276" s="393">
        <v>0</v>
      </c>
    </row>
    <row r="277" spans="1:25" ht="49.5" customHeight="1">
      <c r="A277" s="841"/>
      <c r="B277" s="22"/>
      <c r="C277" s="771"/>
      <c r="D277" s="773"/>
      <c r="E277" s="42">
        <f aca="true" t="shared" si="73" ref="E277:E282">SUM(5.6/24699)*H277</f>
        <v>0.03287582493218349</v>
      </c>
      <c r="F277" s="773"/>
      <c r="G277" s="22"/>
      <c r="H277" s="22">
        <v>145</v>
      </c>
      <c r="I277" s="770"/>
      <c r="J277" s="816"/>
      <c r="K277" s="407" t="e">
        <f t="shared" si="71"/>
        <v>#REF!</v>
      </c>
      <c r="L277" s="229" t="s">
        <v>133</v>
      </c>
      <c r="M277" s="179" t="e">
        <f>0.29*(2.34/3.43)*#REF!</f>
        <v>#REF!</v>
      </c>
      <c r="N277" s="169" t="e">
        <f t="shared" si="72"/>
        <v>#REF!</v>
      </c>
      <c r="O277" s="785"/>
      <c r="P277" s="773"/>
      <c r="Q277" s="771"/>
      <c r="R277" s="791"/>
      <c r="V277" s="38">
        <f aca="true" t="shared" si="74" ref="V277:V282">SUM(E277*2.34*1.163)</f>
        <v>0.0894689274869428</v>
      </c>
      <c r="W277" s="376">
        <v>0</v>
      </c>
      <c r="X277" s="42">
        <v>0</v>
      </c>
      <c r="Y277" s="393">
        <v>0</v>
      </c>
    </row>
    <row r="278" spans="1:25" ht="49.5" customHeight="1">
      <c r="A278" s="841"/>
      <c r="B278" s="22"/>
      <c r="C278" s="771"/>
      <c r="D278" s="773"/>
      <c r="E278" s="42">
        <f t="shared" si="73"/>
        <v>0.28840034009474064</v>
      </c>
      <c r="F278" s="773"/>
      <c r="G278" s="22"/>
      <c r="H278" s="22">
        <v>1272</v>
      </c>
      <c r="I278" s="770"/>
      <c r="J278" s="816"/>
      <c r="K278" s="407" t="e">
        <f t="shared" si="71"/>
        <v>#REF!</v>
      </c>
      <c r="L278" s="229" t="s">
        <v>553</v>
      </c>
      <c r="M278" s="179" t="e">
        <f>0.375*(2.34/3.43)*#REF!</f>
        <v>#REF!</v>
      </c>
      <c r="N278" s="169" t="e">
        <f t="shared" si="72"/>
        <v>#REF!</v>
      </c>
      <c r="O278" s="785"/>
      <c r="P278" s="773"/>
      <c r="Q278" s="771"/>
      <c r="R278" s="791"/>
      <c r="V278" s="38">
        <f t="shared" si="74"/>
        <v>0.784858453540629</v>
      </c>
      <c r="W278" s="376">
        <v>0</v>
      </c>
      <c r="X278" s="42">
        <v>0</v>
      </c>
      <c r="Y278" s="393">
        <v>0</v>
      </c>
    </row>
    <row r="279" spans="1:25" ht="49.5" customHeight="1">
      <c r="A279" s="841"/>
      <c r="B279" s="22"/>
      <c r="C279" s="771"/>
      <c r="D279" s="773"/>
      <c r="E279" s="42">
        <f t="shared" si="73"/>
        <v>0.040811368881331224</v>
      </c>
      <c r="F279" s="773"/>
      <c r="G279" s="22"/>
      <c r="H279" s="22">
        <v>180</v>
      </c>
      <c r="I279" s="770"/>
      <c r="J279" s="816"/>
      <c r="K279" s="407" t="e">
        <f t="shared" si="71"/>
        <v>#REF!</v>
      </c>
      <c r="L279" s="229" t="s">
        <v>553</v>
      </c>
      <c r="M279" s="179" t="e">
        <f>0.375*(2.34/3.43)*#REF!</f>
        <v>#REF!</v>
      </c>
      <c r="N279" s="169" t="e">
        <f t="shared" si="72"/>
        <v>#REF!</v>
      </c>
      <c r="O279" s="785"/>
      <c r="P279" s="773"/>
      <c r="Q279" s="771"/>
      <c r="R279" s="791"/>
      <c r="V279" s="38">
        <f t="shared" si="74"/>
        <v>0.1110648755010324</v>
      </c>
      <c r="W279" s="376">
        <v>0</v>
      </c>
      <c r="X279" s="42">
        <v>0</v>
      </c>
      <c r="Y279" s="393">
        <v>0</v>
      </c>
    </row>
    <row r="280" spans="1:25" ht="49.5" customHeight="1">
      <c r="A280" s="841"/>
      <c r="B280" s="22"/>
      <c r="C280" s="771"/>
      <c r="D280" s="773"/>
      <c r="E280" s="42">
        <f t="shared" si="73"/>
        <v>0.1437467103931333</v>
      </c>
      <c r="F280" s="773"/>
      <c r="G280" s="22"/>
      <c r="H280" s="22">
        <v>634</v>
      </c>
      <c r="I280" s="770"/>
      <c r="J280" s="816"/>
      <c r="K280" s="407" t="e">
        <f t="shared" si="71"/>
        <v>#REF!</v>
      </c>
      <c r="L280" s="229" t="s">
        <v>553</v>
      </c>
      <c r="M280" s="179" t="e">
        <f>0.375*(2.34/3.43)*#REF!</f>
        <v>#REF!</v>
      </c>
      <c r="N280" s="169" t="e">
        <f t="shared" si="72"/>
        <v>#REF!</v>
      </c>
      <c r="O280" s="785"/>
      <c r="P280" s="773"/>
      <c r="Q280" s="771"/>
      <c r="R280" s="791"/>
      <c r="V280" s="38">
        <f t="shared" si="74"/>
        <v>0.3911951725980808</v>
      </c>
      <c r="W280" s="376">
        <v>0</v>
      </c>
      <c r="X280" s="42">
        <v>0</v>
      </c>
      <c r="Y280" s="393">
        <v>0</v>
      </c>
    </row>
    <row r="281" spans="1:25" ht="49.5" customHeight="1">
      <c r="A281" s="841"/>
      <c r="B281" s="22"/>
      <c r="C281" s="771"/>
      <c r="D281" s="773"/>
      <c r="E281" s="42">
        <f t="shared" si="73"/>
        <v>0.10044131341349852</v>
      </c>
      <c r="F281" s="773"/>
      <c r="G281" s="22"/>
      <c r="H281" s="22">
        <v>443</v>
      </c>
      <c r="I281" s="770"/>
      <c r="J281" s="816"/>
      <c r="K281" s="407" t="e">
        <f t="shared" si="71"/>
        <v>#REF!</v>
      </c>
      <c r="L281" s="229" t="s">
        <v>553</v>
      </c>
      <c r="M281" s="179" t="e">
        <f>0.375*(2.34/3.43)*#REF!</f>
        <v>#REF!</v>
      </c>
      <c r="N281" s="169" t="e">
        <f t="shared" si="72"/>
        <v>#REF!</v>
      </c>
      <c r="O281" s="785"/>
      <c r="P281" s="773"/>
      <c r="Q281" s="771"/>
      <c r="R281" s="791"/>
      <c r="V281" s="38">
        <f t="shared" si="74"/>
        <v>0.2733429991497631</v>
      </c>
      <c r="W281" s="376">
        <v>0</v>
      </c>
      <c r="X281" s="42">
        <v>0</v>
      </c>
      <c r="Y281" s="393">
        <v>0</v>
      </c>
    </row>
    <row r="282" spans="1:25" ht="49.5" customHeight="1" thickBot="1">
      <c r="A282" s="841"/>
      <c r="B282" s="47"/>
      <c r="C282" s="772"/>
      <c r="D282" s="774"/>
      <c r="E282" s="49">
        <f t="shared" si="73"/>
        <v>0.11245799425077938</v>
      </c>
      <c r="F282" s="774"/>
      <c r="G282" s="47"/>
      <c r="H282" s="47">
        <v>496</v>
      </c>
      <c r="I282" s="805"/>
      <c r="J282" s="817"/>
      <c r="K282" s="405" t="e">
        <f t="shared" si="71"/>
        <v>#REF!</v>
      </c>
      <c r="L282" s="232" t="s">
        <v>553</v>
      </c>
      <c r="M282" s="179" t="e">
        <f>0.375*(2.34/3.43)*#REF!</f>
        <v>#REF!</v>
      </c>
      <c r="N282" s="179" t="e">
        <f t="shared" si="72"/>
        <v>#REF!</v>
      </c>
      <c r="O282" s="807"/>
      <c r="P282" s="774"/>
      <c r="Q282" s="772"/>
      <c r="R282" s="806"/>
      <c r="V282" s="162">
        <f t="shared" si="74"/>
        <v>0.306045434713956</v>
      </c>
      <c r="W282" s="377">
        <v>0</v>
      </c>
      <c r="X282" s="49">
        <v>0</v>
      </c>
      <c r="Y282" s="394">
        <v>0</v>
      </c>
    </row>
    <row r="283" spans="1:25" s="231" customFormat="1" ht="81" customHeight="1" thickBot="1">
      <c r="A283" s="198"/>
      <c r="B283" s="200" t="s">
        <v>849</v>
      </c>
      <c r="C283" s="200">
        <f>A276</f>
        <v>1</v>
      </c>
      <c r="D283" s="199">
        <f>SUM(D276)</f>
        <v>5.6</v>
      </c>
      <c r="E283" s="199">
        <f>SUM(E276)</f>
        <v>4.881266448034333</v>
      </c>
      <c r="F283" s="199">
        <f>SUM(F276)</f>
        <v>224</v>
      </c>
      <c r="G283" s="200">
        <f aca="true" t="shared" si="75" ref="G283:R283">SUM(G276:G282)</f>
        <v>21529</v>
      </c>
      <c r="H283" s="200">
        <f t="shared" si="75"/>
        <v>3170</v>
      </c>
      <c r="I283" s="200">
        <f t="shared" si="75"/>
        <v>24699</v>
      </c>
      <c r="J283" s="404">
        <f>SUM(J276)</f>
        <v>224</v>
      </c>
      <c r="K283" s="404" t="e">
        <f>SUM(K276:K282)</f>
        <v>#REF!</v>
      </c>
      <c r="L283" s="200"/>
      <c r="M283" s="199" t="e">
        <f>K283/I283</f>
        <v>#REF!</v>
      </c>
      <c r="N283" s="199" t="e">
        <f>SUM(N276:N282)</f>
        <v>#REF!</v>
      </c>
      <c r="O283" s="378">
        <f t="shared" si="75"/>
        <v>3.6</v>
      </c>
      <c r="P283" s="199">
        <f t="shared" si="75"/>
        <v>1.4</v>
      </c>
      <c r="Q283" s="200">
        <f t="shared" si="75"/>
        <v>28</v>
      </c>
      <c r="R283" s="387">
        <f t="shared" si="75"/>
        <v>300</v>
      </c>
      <c r="V283" s="199">
        <f>SUM(V276:V282)</f>
        <v>15.239952</v>
      </c>
      <c r="W283" s="378">
        <f>SUM(W276:W282)</f>
        <v>0</v>
      </c>
      <c r="X283" s="199">
        <f>SUM(X276:X282)</f>
        <v>0</v>
      </c>
      <c r="Y283" s="395">
        <f>SUM(Y276:Y282)</f>
        <v>0</v>
      </c>
    </row>
    <row r="284" spans="1:25" s="231" customFormat="1" ht="81.75" customHeight="1" thickBot="1">
      <c r="A284" s="198"/>
      <c r="B284" s="200" t="s">
        <v>102</v>
      </c>
      <c r="C284" s="200">
        <f>C283+C274+C255+C243+C183</f>
        <v>29</v>
      </c>
      <c r="D284" s="199">
        <f>D283+D274+D255+D243+D183</f>
        <v>161.75</v>
      </c>
      <c r="E284" s="199">
        <f>E283+E274+E255+E243+E183</f>
        <v>161.03115363294535</v>
      </c>
      <c r="F284" s="199">
        <f>F283+F274+F255+F243+F183</f>
        <v>30624.655005206012</v>
      </c>
      <c r="G284" s="200">
        <f>G283+G274+G255+G243+G183</f>
        <v>1059591.6</v>
      </c>
      <c r="H284" s="200">
        <f>H283+H255+H243+H183+H274</f>
        <v>229538</v>
      </c>
      <c r="I284" s="200">
        <f>I283+I255+I243+I183+I274</f>
        <v>1289129.6</v>
      </c>
      <c r="J284" s="404">
        <f>J283+J274+J255+J243+J183</f>
        <v>30624.64</v>
      </c>
      <c r="K284" s="404" t="e">
        <f>K283+K255+K243+K183+K274</f>
        <v>#REF!</v>
      </c>
      <c r="L284" s="200"/>
      <c r="M284" s="199" t="e">
        <f>K284/I284</f>
        <v>#REF!</v>
      </c>
      <c r="N284" s="199" t="e">
        <f>N283+N255+N243+N183+N274</f>
        <v>#REF!</v>
      </c>
      <c r="O284" s="378">
        <f aca="true" t="shared" si="76" ref="O284:Y284">O283+O255+O243+O183+O274</f>
        <v>183.3714814814813</v>
      </c>
      <c r="P284" s="199">
        <f t="shared" si="76"/>
        <v>14.15</v>
      </c>
      <c r="Q284" s="200">
        <f>(Q283+Q255+Q243+Q183+Q274)/5</f>
        <v>45.4289947089947</v>
      </c>
      <c r="R284" s="387">
        <f t="shared" si="76"/>
        <v>20979.925925925934</v>
      </c>
      <c r="V284" s="199">
        <f t="shared" si="76"/>
        <v>447.49115718276045</v>
      </c>
      <c r="W284" s="378">
        <f t="shared" si="76"/>
        <v>3.6</v>
      </c>
      <c r="X284" s="199">
        <f t="shared" si="76"/>
        <v>53</v>
      </c>
      <c r="Y284" s="395">
        <f t="shared" si="76"/>
        <v>570</v>
      </c>
    </row>
    <row r="285" spans="1:25" s="372" customFormat="1" ht="156.75" customHeight="1" thickBot="1">
      <c r="A285" s="369"/>
      <c r="B285" s="370" t="s">
        <v>99</v>
      </c>
      <c r="C285" s="370">
        <f aca="true" t="shared" si="77" ref="C285:H285">C284+C166+C162+C113+C100+C72+C68+C54+C32+C25+C16</f>
        <v>110</v>
      </c>
      <c r="D285" s="371">
        <f t="shared" si="77"/>
        <v>301.799</v>
      </c>
      <c r="E285" s="371">
        <f t="shared" si="77"/>
        <v>302.4921941532257</v>
      </c>
      <c r="F285" s="371">
        <f t="shared" si="77"/>
        <v>46649.33506767812</v>
      </c>
      <c r="G285" s="370">
        <f t="shared" si="77"/>
        <v>2056646.6</v>
      </c>
      <c r="H285" s="370">
        <f t="shared" si="77"/>
        <v>499555.3</v>
      </c>
      <c r="I285" s="370">
        <f>G285+H285</f>
        <v>2556201.9</v>
      </c>
      <c r="J285" s="371">
        <f>J284+J166+J162+J113+J100+J72+J68+J54+J32+J25+J16</f>
        <v>46649.35</v>
      </c>
      <c r="K285" s="371" t="e">
        <f>K284+K166+K162+K113+K100+K72+K68+K54+K32+K25+K16</f>
        <v>#REF!</v>
      </c>
      <c r="L285" s="370"/>
      <c r="M285" s="371"/>
      <c r="N285" s="371" t="e">
        <f>N284+N166+N162+N113+N100+N72+N68+N54+N32+N25+N16</f>
        <v>#REF!</v>
      </c>
      <c r="O285" s="371">
        <f>O284+O166+O162+O113+O100+O72+O68+O54+O32+O25+O16</f>
        <v>447.9044444444442</v>
      </c>
      <c r="P285" s="371">
        <f>P284+P166+P162+P113+P100+P72+P68+P54+P32+P25+P16</f>
        <v>14.35</v>
      </c>
      <c r="Q285" s="370">
        <f>(Q284+Q166+Q162+Q113+Q100+Q72+Q68+Q54+Q32+Q25+Q16)/11</f>
        <v>54.66233544233544</v>
      </c>
      <c r="R285" s="371">
        <f>R284+R166+R162+R113+R100+R72+R68+R54+R32+R25+R16</f>
        <v>41922.51709165161</v>
      </c>
      <c r="V285" s="371">
        <f>V284+V166+V162+V113+V100+V72+V68+V54+V32+V25+V16</f>
        <v>805.4101591554619</v>
      </c>
      <c r="W285" s="371">
        <f>W284+W166+W162+W113+W100+W72+W68+W54+W32+W25+W16</f>
        <v>40.740370370370364</v>
      </c>
      <c r="X285" s="371">
        <f>X284+X166+X162+X113+X100+X72+X68+X54+X32+X25+X16</f>
        <v>428.25925925925924</v>
      </c>
      <c r="Y285" s="373">
        <f>Y284+Y166+Y162+Y113+Y100+Y72+Y68+Y54+Y32+Y25+Y16</f>
        <v>2651.162318412734</v>
      </c>
    </row>
    <row r="286" spans="1:25" ht="49.5" customHeight="1">
      <c r="A286" s="181"/>
      <c r="B286" s="183"/>
      <c r="C286" s="183"/>
      <c r="D286" s="182"/>
      <c r="H286" s="184"/>
      <c r="I286" s="184"/>
      <c r="J286" s="184"/>
      <c r="L286" s="184"/>
      <c r="M286" s="184"/>
      <c r="N286" s="184"/>
      <c r="P286" s="238"/>
      <c r="Q286" s="183"/>
      <c r="R286" s="182"/>
      <c r="S286" s="251"/>
      <c r="T286" s="186"/>
      <c r="U286" s="186"/>
      <c r="V286" s="187"/>
      <c r="W286" s="182"/>
      <c r="X286" s="182"/>
      <c r="Y286" s="182"/>
    </row>
    <row r="287" spans="1:25" ht="49.5" customHeight="1">
      <c r="A287" s="181"/>
      <c r="B287" s="793"/>
      <c r="C287" s="793"/>
      <c r="D287" s="182"/>
      <c r="G287"/>
      <c r="H287" s="183"/>
      <c r="I287" s="185"/>
      <c r="J287" s="185"/>
      <c r="K287" s="185"/>
      <c r="L287" s="185"/>
      <c r="M287" s="185"/>
      <c r="N287" s="185"/>
      <c r="O287" s="182"/>
      <c r="P287" s="182"/>
      <c r="Q287" s="183"/>
      <c r="R287" s="182"/>
      <c r="S287" s="251"/>
      <c r="T287" s="186"/>
      <c r="U287" s="186"/>
      <c r="V287" s="187"/>
      <c r="W287" s="182"/>
      <c r="X287" s="182"/>
      <c r="Y287" s="182"/>
    </row>
    <row r="288" spans="1:25" ht="49.5" customHeight="1">
      <c r="A288" s="181"/>
      <c r="B288" s="188"/>
      <c r="C288" s="188"/>
      <c r="D288" s="182"/>
      <c r="H288" s="183"/>
      <c r="I288" s="185"/>
      <c r="J288" s="185"/>
      <c r="K288" s="185"/>
      <c r="L288" s="185"/>
      <c r="M288" s="185"/>
      <c r="N288" s="185"/>
      <c r="P288" s="182"/>
      <c r="Q288" s="183"/>
      <c r="R288" s="182"/>
      <c r="S288" s="251"/>
      <c r="T288" s="186"/>
      <c r="U288" s="186"/>
      <c r="V288" s="187"/>
      <c r="W288" s="182"/>
      <c r="X288" s="182"/>
      <c r="Y288" s="182"/>
    </row>
    <row r="289" spans="1:25" ht="49.5" customHeight="1">
      <c r="A289" s="181"/>
      <c r="B289" s="792"/>
      <c r="C289" s="792"/>
      <c r="D289" s="182"/>
      <c r="H289" s="183"/>
      <c r="I289" s="185"/>
      <c r="J289" s="185"/>
      <c r="K289" s="185"/>
      <c r="L289" s="185"/>
      <c r="M289" s="185"/>
      <c r="N289" s="185"/>
      <c r="O289" s="182"/>
      <c r="P289" s="182"/>
      <c r="Q289" s="183"/>
      <c r="R289" s="182"/>
      <c r="S289" s="251"/>
      <c r="T289" s="186"/>
      <c r="U289" s="186"/>
      <c r="V289" s="187"/>
      <c r="W289" s="182"/>
      <c r="X289" s="182"/>
      <c r="Y289" s="182"/>
    </row>
    <row r="290" spans="1:25" ht="26.25">
      <c r="A290" s="181"/>
      <c r="B290" s="188"/>
      <c r="C290" s="188"/>
      <c r="D290" s="182"/>
      <c r="H290" s="183"/>
      <c r="I290" s="185"/>
      <c r="J290" s="185"/>
      <c r="K290" s="185"/>
      <c r="L290" s="185"/>
      <c r="M290" s="185"/>
      <c r="N290" s="185"/>
      <c r="O290" s="182"/>
      <c r="P290" s="182"/>
      <c r="Q290" s="183"/>
      <c r="R290" s="182"/>
      <c r="S290" s="186"/>
      <c r="T290" s="186"/>
      <c r="U290" s="186"/>
      <c r="V290" s="187"/>
      <c r="W290" s="182"/>
      <c r="X290" s="182"/>
      <c r="Y290" s="182"/>
    </row>
  </sheetData>
  <mergeCells count="208">
    <mergeCell ref="M2:M5"/>
    <mergeCell ref="N2:N5"/>
    <mergeCell ref="J2:K3"/>
    <mergeCell ref="K4:K5"/>
    <mergeCell ref="G4:G5"/>
    <mergeCell ref="H4:H5"/>
    <mergeCell ref="I4:I5"/>
    <mergeCell ref="J4:J5"/>
    <mergeCell ref="J257:J261"/>
    <mergeCell ref="J263:J265"/>
    <mergeCell ref="J266:J272"/>
    <mergeCell ref="J276:J282"/>
    <mergeCell ref="J225:J241"/>
    <mergeCell ref="J245:J246"/>
    <mergeCell ref="J249:J250"/>
    <mergeCell ref="J251:J252"/>
    <mergeCell ref="A263:A265"/>
    <mergeCell ref="A266:A272"/>
    <mergeCell ref="A276:A282"/>
    <mergeCell ref="A117:A118"/>
    <mergeCell ref="A120:A121"/>
    <mergeCell ref="A245:A246"/>
    <mergeCell ref="A249:A250"/>
    <mergeCell ref="A251:A252"/>
    <mergeCell ref="A257:A261"/>
    <mergeCell ref="A178:A181"/>
    <mergeCell ref="A194:A211"/>
    <mergeCell ref="A212:A224"/>
    <mergeCell ref="A225:A241"/>
    <mergeCell ref="B102:B112"/>
    <mergeCell ref="C102:C112"/>
    <mergeCell ref="A102:A112"/>
    <mergeCell ref="A169:A177"/>
    <mergeCell ref="A155:A157"/>
    <mergeCell ref="A136:A138"/>
    <mergeCell ref="Q56:Q67"/>
    <mergeCell ref="F18:F19"/>
    <mergeCell ref="F20:F23"/>
    <mergeCell ref="D136:D138"/>
    <mergeCell ref="F136:F138"/>
    <mergeCell ref="Q18:Q19"/>
    <mergeCell ref="P18:P19"/>
    <mergeCell ref="O20:O23"/>
    <mergeCell ref="P20:P23"/>
    <mergeCell ref="Q20:Q23"/>
    <mergeCell ref="A56:A67"/>
    <mergeCell ref="B56:B67"/>
    <mergeCell ref="O56:O67"/>
    <mergeCell ref="P56:P67"/>
    <mergeCell ref="J56:J67"/>
    <mergeCell ref="R56:R67"/>
    <mergeCell ref="F56:F67"/>
    <mergeCell ref="B18:B19"/>
    <mergeCell ref="A18:A19"/>
    <mergeCell ref="B20:B23"/>
    <mergeCell ref="A20:A23"/>
    <mergeCell ref="D18:D19"/>
    <mergeCell ref="D20:D23"/>
    <mergeCell ref="R18:R19"/>
    <mergeCell ref="R20:R23"/>
    <mergeCell ref="I194:I211"/>
    <mergeCell ref="I212:I224"/>
    <mergeCell ref="Q155:Q157"/>
    <mergeCell ref="R155:R157"/>
    <mergeCell ref="J155:J157"/>
    <mergeCell ref="J169:J177"/>
    <mergeCell ref="J178:J181"/>
    <mergeCell ref="J194:J211"/>
    <mergeCell ref="J212:J224"/>
    <mergeCell ref="F155:F157"/>
    <mergeCell ref="I155:I157"/>
    <mergeCell ref="O155:O157"/>
    <mergeCell ref="D8:D9"/>
    <mergeCell ref="O18:O19"/>
    <mergeCell ref="J18:J19"/>
    <mergeCell ref="J20:J23"/>
    <mergeCell ref="J136:J138"/>
    <mergeCell ref="K8:K15"/>
    <mergeCell ref="K18:K23"/>
    <mergeCell ref="F169:F177"/>
    <mergeCell ref="O169:O177"/>
    <mergeCell ref="P169:P177"/>
    <mergeCell ref="Q169:Q177"/>
    <mergeCell ref="I169:I177"/>
    <mergeCell ref="F225:F241"/>
    <mergeCell ref="R169:R177"/>
    <mergeCell ref="O178:O181"/>
    <mergeCell ref="P178:P181"/>
    <mergeCell ref="Q178:Q181"/>
    <mergeCell ref="R178:R181"/>
    <mergeCell ref="I178:I181"/>
    <mergeCell ref="F212:F224"/>
    <mergeCell ref="F194:F211"/>
    <mergeCell ref="F178:F181"/>
    <mergeCell ref="D178:D181"/>
    <mergeCell ref="C225:C241"/>
    <mergeCell ref="D225:D241"/>
    <mergeCell ref="C194:C211"/>
    <mergeCell ref="D194:D211"/>
    <mergeCell ref="R249:R250"/>
    <mergeCell ref="I249:I250"/>
    <mergeCell ref="D249:D250"/>
    <mergeCell ref="O251:O252"/>
    <mergeCell ref="P251:P252"/>
    <mergeCell ref="Q251:Q252"/>
    <mergeCell ref="R251:R252"/>
    <mergeCell ref="I251:I252"/>
    <mergeCell ref="F251:F252"/>
    <mergeCell ref="I257:I261"/>
    <mergeCell ref="F276:F282"/>
    <mergeCell ref="Q249:Q250"/>
    <mergeCell ref="C249:C250"/>
    <mergeCell ref="F249:F250"/>
    <mergeCell ref="C251:C252"/>
    <mergeCell ref="D251:D252"/>
    <mergeCell ref="I263:I265"/>
    <mergeCell ref="O276:O282"/>
    <mergeCell ref="P276:P282"/>
    <mergeCell ref="P245:P246"/>
    <mergeCell ref="Q245:Q246"/>
    <mergeCell ref="R245:R246"/>
    <mergeCell ref="I245:I246"/>
    <mergeCell ref="C245:C246"/>
    <mergeCell ref="D245:D246"/>
    <mergeCell ref="F245:F246"/>
    <mergeCell ref="O245:O246"/>
    <mergeCell ref="Q266:Q272"/>
    <mergeCell ref="I266:I272"/>
    <mergeCell ref="I276:I282"/>
    <mergeCell ref="R276:R282"/>
    <mergeCell ref="Q276:Q282"/>
    <mergeCell ref="A1:Y1"/>
    <mergeCell ref="C2:F3"/>
    <mergeCell ref="F4:F5"/>
    <mergeCell ref="D4:D5"/>
    <mergeCell ref="E4:E5"/>
    <mergeCell ref="C4:C5"/>
    <mergeCell ref="B4:B5"/>
    <mergeCell ref="P4:P5"/>
    <mergeCell ref="O2:R3"/>
    <mergeCell ref="O4:O5"/>
    <mergeCell ref="Y4:Y5"/>
    <mergeCell ref="W2:Y3"/>
    <mergeCell ref="R266:R272"/>
    <mergeCell ref="F257:F261"/>
    <mergeCell ref="F263:F265"/>
    <mergeCell ref="F266:F272"/>
    <mergeCell ref="P266:P272"/>
    <mergeCell ref="X4:X5"/>
    <mergeCell ref="W4:W5"/>
    <mergeCell ref="O266:O272"/>
    <mergeCell ref="B289:C289"/>
    <mergeCell ref="D257:D261"/>
    <mergeCell ref="C257:C261"/>
    <mergeCell ref="C263:C265"/>
    <mergeCell ref="D263:D265"/>
    <mergeCell ref="C266:C272"/>
    <mergeCell ref="D266:D272"/>
    <mergeCell ref="C276:C282"/>
    <mergeCell ref="D276:D282"/>
    <mergeCell ref="B287:C287"/>
    <mergeCell ref="S2:S5"/>
    <mergeCell ref="T2:T5"/>
    <mergeCell ref="U2:U5"/>
    <mergeCell ref="O263:O265"/>
    <mergeCell ref="Q263:Q265"/>
    <mergeCell ref="Q257:Q261"/>
    <mergeCell ref="R257:R261"/>
    <mergeCell ref="R263:R265"/>
    <mergeCell ref="P263:P265"/>
    <mergeCell ref="P257:P261"/>
    <mergeCell ref="V2:V5"/>
    <mergeCell ref="V107:V112"/>
    <mergeCell ref="A2:A6"/>
    <mergeCell ref="O257:O261"/>
    <mergeCell ref="O249:O250"/>
    <mergeCell ref="P249:P250"/>
    <mergeCell ref="L2:L5"/>
    <mergeCell ref="Q4:Q5"/>
    <mergeCell ref="R4:R5"/>
    <mergeCell ref="G2:I3"/>
    <mergeCell ref="V8:V15"/>
    <mergeCell ref="V18:V23"/>
    <mergeCell ref="V27:V31"/>
    <mergeCell ref="V38:V53"/>
    <mergeCell ref="I225:I241"/>
    <mergeCell ref="C56:C67"/>
    <mergeCell ref="D56:D67"/>
    <mergeCell ref="C212:C224"/>
    <mergeCell ref="D212:D224"/>
    <mergeCell ref="C155:C157"/>
    <mergeCell ref="D155:D157"/>
    <mergeCell ref="C169:C177"/>
    <mergeCell ref="D169:D177"/>
    <mergeCell ref="C178:C181"/>
    <mergeCell ref="K27:K31"/>
    <mergeCell ref="N27:N31"/>
    <mergeCell ref="N18:N23"/>
    <mergeCell ref="N8:N15"/>
    <mergeCell ref="L8:L15"/>
    <mergeCell ref="L18:L23"/>
    <mergeCell ref="L27:L31"/>
    <mergeCell ref="K38:K53"/>
    <mergeCell ref="N38:N53"/>
    <mergeCell ref="K107:K112"/>
    <mergeCell ref="N107:N112"/>
    <mergeCell ref="L107:L112"/>
    <mergeCell ref="L38:L53"/>
  </mergeCells>
  <printOptions/>
  <pageMargins left="0.1968503937007874" right="0.1968503937007874" top="0.1968503937007874" bottom="0.1968503937007874" header="0" footer="0"/>
  <pageSetup horizontalDpi="600" verticalDpi="600" orientation="landscape" paperSize="9" scale="2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"/>
  <sheetViews>
    <sheetView view="pageBreakPreview" zoomScale="60" zoomScaleNormal="50" workbookViewId="0" topLeftCell="A1">
      <selection activeCell="C17" sqref="C17"/>
    </sheetView>
  </sheetViews>
  <sheetFormatPr defaultColWidth="9.00390625" defaultRowHeight="12.75"/>
  <cols>
    <col min="1" max="1" width="9.125" style="278" customWidth="1"/>
    <col min="2" max="2" width="47.625" style="279" customWidth="1"/>
    <col min="3" max="3" width="30.375" style="279" customWidth="1"/>
    <col min="4" max="4" width="30.75390625" style="278" customWidth="1"/>
    <col min="5" max="5" width="30.75390625" style="275" customWidth="1"/>
    <col min="6" max="6" width="30.75390625" style="278" customWidth="1"/>
    <col min="7" max="9" width="30.75390625" style="275" customWidth="1"/>
    <col min="10" max="10" width="43.625" style="0" customWidth="1"/>
    <col min="11" max="11" width="34.375" style="275" customWidth="1"/>
    <col min="12" max="12" width="22.875" style="275" customWidth="1"/>
    <col min="13" max="13" width="20.75390625" style="275" bestFit="1" customWidth="1"/>
    <col min="14" max="16384" width="9.125" style="275" customWidth="1"/>
  </cols>
  <sheetData>
    <row r="1" spans="1:12" ht="80.25" customHeight="1" thickBot="1">
      <c r="A1" s="737" t="s">
        <v>468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</row>
    <row r="2" spans="1:12" ht="190.5" customHeight="1" thickBot="1">
      <c r="A2" s="861" t="s">
        <v>143</v>
      </c>
      <c r="B2" s="868" t="s">
        <v>508</v>
      </c>
      <c r="C2" s="868" t="s">
        <v>560</v>
      </c>
      <c r="D2" s="728" t="s">
        <v>572</v>
      </c>
      <c r="E2" s="731"/>
      <c r="F2" s="869" t="s">
        <v>562</v>
      </c>
      <c r="G2" s="857"/>
      <c r="H2" s="870" t="s">
        <v>563</v>
      </c>
      <c r="I2" s="868" t="s">
        <v>571</v>
      </c>
      <c r="J2" s="868" t="s">
        <v>574</v>
      </c>
      <c r="K2" s="871" t="s">
        <v>570</v>
      </c>
      <c r="L2" s="866" t="s">
        <v>573</v>
      </c>
    </row>
    <row r="3" spans="1:12" ht="109.5" customHeight="1">
      <c r="A3" s="862"/>
      <c r="B3" s="855"/>
      <c r="C3" s="855"/>
      <c r="D3" s="418" t="s">
        <v>575</v>
      </c>
      <c r="E3" s="412" t="s">
        <v>561</v>
      </c>
      <c r="F3" s="413" t="s">
        <v>576</v>
      </c>
      <c r="G3" s="107" t="s">
        <v>561</v>
      </c>
      <c r="H3" s="855"/>
      <c r="I3" s="855"/>
      <c r="J3" s="855"/>
      <c r="K3" s="858"/>
      <c r="L3" s="867"/>
    </row>
    <row r="4" spans="1:12" ht="27.75" thickBot="1">
      <c r="A4" s="331">
        <v>1</v>
      </c>
      <c r="B4" s="214">
        <v>2</v>
      </c>
      <c r="C4" s="214">
        <v>3</v>
      </c>
      <c r="D4" s="419">
        <v>4</v>
      </c>
      <c r="E4" s="332">
        <v>5</v>
      </c>
      <c r="F4" s="332">
        <v>6</v>
      </c>
      <c r="G4" s="332">
        <v>7</v>
      </c>
      <c r="H4" s="332">
        <v>8</v>
      </c>
      <c r="I4" s="332">
        <v>9</v>
      </c>
      <c r="J4" s="332">
        <v>10</v>
      </c>
      <c r="K4" s="430">
        <v>11</v>
      </c>
      <c r="L4" s="434">
        <v>12</v>
      </c>
    </row>
    <row r="5" spans="1:12" ht="35.25" customHeight="1">
      <c r="A5" s="276">
        <v>1</v>
      </c>
      <c r="B5" s="239" t="s">
        <v>564</v>
      </c>
      <c r="C5" s="420">
        <v>8</v>
      </c>
      <c r="D5" s="423">
        <v>256.8330000000001</v>
      </c>
      <c r="E5" s="424">
        <f aca="true" t="shared" si="0" ref="E5:E11">D5/C5</f>
        <v>32.10412500000001</v>
      </c>
      <c r="F5" s="424">
        <v>1170</v>
      </c>
      <c r="G5" s="424">
        <f>F5/C5</f>
        <v>146.25</v>
      </c>
      <c r="H5" s="420">
        <v>8</v>
      </c>
      <c r="I5" s="424">
        <v>1451</v>
      </c>
      <c r="J5" s="428">
        <v>5514</v>
      </c>
      <c r="K5" s="431">
        <f>'загальн.витрати'!Q6</f>
        <v>2698.0658621279995</v>
      </c>
      <c r="L5" s="151">
        <f>K5-J5</f>
        <v>-2815.9341378720005</v>
      </c>
    </row>
    <row r="6" spans="1:12" s="273" customFormat="1" ht="35.25" customHeight="1">
      <c r="A6" s="272">
        <v>2</v>
      </c>
      <c r="B6" s="107" t="s">
        <v>565</v>
      </c>
      <c r="C6" s="421">
        <v>2</v>
      </c>
      <c r="D6" s="425">
        <v>112</v>
      </c>
      <c r="E6" s="426">
        <f t="shared" si="0"/>
        <v>56</v>
      </c>
      <c r="F6" s="426">
        <f>509-151-103</f>
        <v>255</v>
      </c>
      <c r="G6" s="426">
        <f aca="true" t="shared" si="1" ref="G6:G24">F6/C6</f>
        <v>127.5</v>
      </c>
      <c r="H6" s="421">
        <v>3</v>
      </c>
      <c r="I6" s="426">
        <v>1751</v>
      </c>
      <c r="J6" s="429">
        <v>5801</v>
      </c>
      <c r="K6" s="432">
        <f>'загальн.витрати'!Q7</f>
        <v>1378.3067017199996</v>
      </c>
      <c r="L6" s="36">
        <f>K6-J6</f>
        <v>-4422.693298280001</v>
      </c>
    </row>
    <row r="7" spans="1:12" ht="35.25" customHeight="1">
      <c r="A7" s="272">
        <v>3</v>
      </c>
      <c r="B7" s="107" t="s">
        <v>566</v>
      </c>
      <c r="C7" s="421">
        <v>3</v>
      </c>
      <c r="D7" s="425">
        <v>49.10040000000001</v>
      </c>
      <c r="E7" s="426">
        <f>D7/C7</f>
        <v>16.3668</v>
      </c>
      <c r="F7" s="426">
        <v>224</v>
      </c>
      <c r="G7" s="426">
        <f t="shared" si="1"/>
        <v>74.66666666666667</v>
      </c>
      <c r="H7" s="421">
        <v>3</v>
      </c>
      <c r="I7" s="426">
        <v>400</v>
      </c>
      <c r="J7" s="429">
        <v>777</v>
      </c>
      <c r="K7" s="432">
        <f>'загальн.витрати'!Q8</f>
        <v>821.1292669008</v>
      </c>
      <c r="L7" s="36">
        <f>K7-J7</f>
        <v>44.12926690079996</v>
      </c>
    </row>
    <row r="8" spans="1:12" ht="35.25" customHeight="1">
      <c r="A8" s="272">
        <v>4</v>
      </c>
      <c r="B8" s="107" t="s">
        <v>364</v>
      </c>
      <c r="C8" s="421">
        <v>15</v>
      </c>
      <c r="D8" s="427">
        <v>180</v>
      </c>
      <c r="E8" s="426">
        <f t="shared" si="0"/>
        <v>12</v>
      </c>
      <c r="F8" s="426">
        <v>882</v>
      </c>
      <c r="G8" s="426">
        <f t="shared" si="1"/>
        <v>58.8</v>
      </c>
      <c r="H8" s="421">
        <v>16</v>
      </c>
      <c r="I8" s="426">
        <v>1000</v>
      </c>
      <c r="J8" s="429">
        <v>1529</v>
      </c>
      <c r="K8" s="432">
        <f>'загальн.витрати'!Q9</f>
        <v>1934.5083441839993</v>
      </c>
      <c r="L8" s="36">
        <f>K8-J8</f>
        <v>405.50834418399927</v>
      </c>
    </row>
    <row r="9" spans="1:12" ht="35.25" customHeight="1">
      <c r="A9" s="272">
        <v>5</v>
      </c>
      <c r="B9" s="107" t="s">
        <v>567</v>
      </c>
      <c r="C9" s="421">
        <v>2</v>
      </c>
      <c r="D9" s="425">
        <v>186.59519999999998</v>
      </c>
      <c r="E9" s="426">
        <f t="shared" si="0"/>
        <v>93.29759999999999</v>
      </c>
      <c r="F9" s="426">
        <v>850</v>
      </c>
      <c r="G9" s="426">
        <f t="shared" si="1"/>
        <v>425</v>
      </c>
      <c r="H9" s="421">
        <v>1</v>
      </c>
      <c r="I9" s="426">
        <v>600</v>
      </c>
      <c r="J9" s="429">
        <v>6630</v>
      </c>
      <c r="K9" s="432">
        <f>'загальн.витрати'!Q10</f>
        <v>4878.961775999999</v>
      </c>
      <c r="L9" s="36">
        <f aca="true" t="shared" si="2" ref="L9:L24">K9-J9</f>
        <v>-1751.0382240000008</v>
      </c>
    </row>
    <row r="10" spans="1:12" ht="35.25" customHeight="1">
      <c r="A10" s="272">
        <v>6</v>
      </c>
      <c r="B10" s="107" t="s">
        <v>568</v>
      </c>
      <c r="C10" s="421">
        <v>2</v>
      </c>
      <c r="D10" s="427">
        <v>55.572</v>
      </c>
      <c r="E10" s="426">
        <f t="shared" si="0"/>
        <v>27.786</v>
      </c>
      <c r="F10" s="426">
        <f>509-F6</f>
        <v>254</v>
      </c>
      <c r="G10" s="426">
        <f t="shared" si="1"/>
        <v>127</v>
      </c>
      <c r="H10" s="421">
        <v>2</v>
      </c>
      <c r="I10" s="426">
        <v>100</v>
      </c>
      <c r="J10" s="429">
        <v>330</v>
      </c>
      <c r="K10" s="432">
        <f>'загальн.витрати'!Q11</f>
        <v>148.808334168</v>
      </c>
      <c r="L10" s="36">
        <f t="shared" si="2"/>
        <v>-181.191665832</v>
      </c>
    </row>
    <row r="11" spans="1:12" ht="35.25" customHeight="1">
      <c r="A11" s="272">
        <v>7</v>
      </c>
      <c r="B11" s="107" t="str">
        <f>'свод по оборудованию'!B10</f>
        <v>м. Дебальцеве </v>
      </c>
      <c r="C11" s="421">
        <v>26</v>
      </c>
      <c r="D11" s="427">
        <v>623.5600000000013</v>
      </c>
      <c r="E11" s="426">
        <f t="shared" si="0"/>
        <v>23.983076923076972</v>
      </c>
      <c r="F11" s="426">
        <v>11848</v>
      </c>
      <c r="G11" s="426">
        <f t="shared" si="1"/>
        <v>455.6923076923077</v>
      </c>
      <c r="H11" s="421">
        <v>26</v>
      </c>
      <c r="I11" s="426">
        <v>1301</v>
      </c>
      <c r="J11" s="429">
        <v>15402</v>
      </c>
      <c r="K11" s="432">
        <f>'загальн.витрати'!Q12</f>
        <v>16832.4181272</v>
      </c>
      <c r="L11" s="36">
        <f t="shared" si="2"/>
        <v>1430.4181271999987</v>
      </c>
    </row>
    <row r="12" spans="1:12" ht="35.25" customHeight="1">
      <c r="A12" s="272">
        <v>8</v>
      </c>
      <c r="B12" s="107" t="str">
        <f>'свод по оборудованию'!B11</f>
        <v>м. Зугрес </v>
      </c>
      <c r="C12" s="421"/>
      <c r="D12" s="427"/>
      <c r="E12" s="426"/>
      <c r="F12" s="426"/>
      <c r="G12" s="426"/>
      <c r="H12" s="421">
        <v>1</v>
      </c>
      <c r="I12" s="426">
        <v>550</v>
      </c>
      <c r="J12" s="429"/>
      <c r="K12" s="432">
        <f>'загальн.витрати'!Q13</f>
        <v>3121.3157961960005</v>
      </c>
      <c r="L12" s="36">
        <f t="shared" si="2"/>
        <v>3121.3157961960005</v>
      </c>
    </row>
    <row r="13" spans="1:12" ht="35.25" customHeight="1">
      <c r="A13" s="272">
        <v>10</v>
      </c>
      <c r="B13" s="107" t="str">
        <f>'свод по оборудованию'!B12</f>
        <v>м. Українськ </v>
      </c>
      <c r="C13" s="421"/>
      <c r="D13" s="427"/>
      <c r="E13" s="426"/>
      <c r="F13" s="426"/>
      <c r="G13" s="426"/>
      <c r="H13" s="421">
        <v>4</v>
      </c>
      <c r="I13" s="426">
        <v>300</v>
      </c>
      <c r="J13" s="429"/>
      <c r="K13" s="432">
        <f>'загальн.витрати'!Q15</f>
        <v>1056.2952245039999</v>
      </c>
      <c r="L13" s="36">
        <f t="shared" si="2"/>
        <v>1056.2952245039999</v>
      </c>
    </row>
    <row r="14" spans="1:12" ht="35.25" customHeight="1">
      <c r="A14" s="272">
        <v>11</v>
      </c>
      <c r="B14" s="107" t="str">
        <f>'свод по оборудованию'!B13</f>
        <v>с. Курахівка </v>
      </c>
      <c r="C14" s="421">
        <v>3</v>
      </c>
      <c r="D14" s="425">
        <v>10.9728</v>
      </c>
      <c r="E14" s="426">
        <f>D14/C14</f>
        <v>3.6576</v>
      </c>
      <c r="F14" s="426">
        <v>50</v>
      </c>
      <c r="G14" s="426">
        <f t="shared" si="1"/>
        <v>16.666666666666668</v>
      </c>
      <c r="H14" s="421">
        <v>4</v>
      </c>
      <c r="I14" s="426">
        <v>350</v>
      </c>
      <c r="J14" s="429">
        <v>152</v>
      </c>
      <c r="K14" s="432">
        <f>'загальн.витрати'!Q16</f>
        <v>91.72448138879997</v>
      </c>
      <c r="L14" s="36">
        <f t="shared" si="2"/>
        <v>-60.27551861120003</v>
      </c>
    </row>
    <row r="15" spans="1:12" ht="35.25" customHeight="1">
      <c r="A15" s="272">
        <v>12</v>
      </c>
      <c r="B15" s="274" t="s">
        <v>761</v>
      </c>
      <c r="C15" s="426">
        <v>3</v>
      </c>
      <c r="D15" s="425">
        <v>37.863</v>
      </c>
      <c r="E15" s="426">
        <f>D15/C15</f>
        <v>12.621</v>
      </c>
      <c r="F15" s="426">
        <v>172</v>
      </c>
      <c r="G15" s="426">
        <f t="shared" si="1"/>
        <v>57.333333333333336</v>
      </c>
      <c r="H15" s="421">
        <v>3</v>
      </c>
      <c r="I15" s="426">
        <v>300</v>
      </c>
      <c r="J15" s="429">
        <v>447</v>
      </c>
      <c r="K15" s="432">
        <f>'загальн.витрати'!Q17</f>
        <v>107.33715907199998</v>
      </c>
      <c r="L15" s="36">
        <f t="shared" si="2"/>
        <v>-339.66284092800004</v>
      </c>
    </row>
    <row r="16" spans="1:12" ht="35.25" customHeight="1">
      <c r="A16" s="272">
        <v>13</v>
      </c>
      <c r="B16" s="107" t="s">
        <v>264</v>
      </c>
      <c r="C16" s="421">
        <v>2</v>
      </c>
      <c r="D16" s="425">
        <v>35.334</v>
      </c>
      <c r="E16" s="426">
        <f>D16/C16</f>
        <v>17.667</v>
      </c>
      <c r="F16" s="426">
        <v>161</v>
      </c>
      <c r="G16" s="426">
        <f t="shared" si="1"/>
        <v>80.5</v>
      </c>
      <c r="H16" s="421">
        <v>2</v>
      </c>
      <c r="I16" s="426">
        <v>500</v>
      </c>
      <c r="J16" s="429">
        <v>1047</v>
      </c>
      <c r="K16" s="432">
        <f>'загальн.витрати'!Q18</f>
        <v>58.547541312</v>
      </c>
      <c r="L16" s="36">
        <f t="shared" si="2"/>
        <v>-988.452458688</v>
      </c>
    </row>
    <row r="17" spans="1:12" ht="35.25" customHeight="1">
      <c r="A17" s="272">
        <v>14</v>
      </c>
      <c r="B17" s="107" t="s">
        <v>355</v>
      </c>
      <c r="C17" s="421">
        <v>11</v>
      </c>
      <c r="D17" s="425">
        <v>685.4939999999997</v>
      </c>
      <c r="E17" s="426">
        <f>D17/C17</f>
        <v>62.31763636363633</v>
      </c>
      <c r="F17" s="426">
        <v>3123</v>
      </c>
      <c r="G17" s="426">
        <f t="shared" si="1"/>
        <v>283.90909090909093</v>
      </c>
      <c r="H17" s="421">
        <v>6</v>
      </c>
      <c r="I17" s="426">
        <v>400</v>
      </c>
      <c r="J17" s="429">
        <v>2953</v>
      </c>
      <c r="K17" s="432">
        <f>'загальн.витрати'!Q19</f>
        <v>793.3191847775998</v>
      </c>
      <c r="L17" s="36">
        <f t="shared" si="2"/>
        <v>-2159.6808152224003</v>
      </c>
    </row>
    <row r="18" spans="1:12" ht="35.25" customHeight="1">
      <c r="A18" s="272">
        <v>15</v>
      </c>
      <c r="B18" s="107" t="str">
        <f>'свод по оборудованию'!B17</f>
        <v>м. Родинське </v>
      </c>
      <c r="C18" s="421"/>
      <c r="D18" s="425"/>
      <c r="E18" s="426"/>
      <c r="F18" s="426"/>
      <c r="G18" s="426"/>
      <c r="H18" s="421">
        <v>1</v>
      </c>
      <c r="I18" s="426">
        <v>100</v>
      </c>
      <c r="J18" s="429"/>
      <c r="K18" s="432">
        <f>'загальн.витрати'!Q20</f>
        <v>243.94808879999994</v>
      </c>
      <c r="L18" s="36">
        <f t="shared" si="2"/>
        <v>243.94808879999994</v>
      </c>
    </row>
    <row r="19" spans="1:12" ht="35.25" customHeight="1">
      <c r="A19" s="272">
        <v>16</v>
      </c>
      <c r="B19" s="107" t="str">
        <f>'свод по оборудованию'!B18</f>
        <v>м. Добропілля </v>
      </c>
      <c r="C19" s="421"/>
      <c r="D19" s="425"/>
      <c r="E19" s="426"/>
      <c r="F19" s="426"/>
      <c r="G19" s="426"/>
      <c r="H19" s="421">
        <v>13</v>
      </c>
      <c r="I19" s="426">
        <v>2901</v>
      </c>
      <c r="J19" s="429"/>
      <c r="K19" s="432">
        <f>'загальн.витрати'!Q21</f>
        <v>18142.419364056008</v>
      </c>
      <c r="L19" s="36">
        <f t="shared" si="2"/>
        <v>18142.419364056008</v>
      </c>
    </row>
    <row r="20" spans="1:12" ht="35.25" customHeight="1">
      <c r="A20" s="272">
        <v>17</v>
      </c>
      <c r="B20" s="107" t="s">
        <v>793</v>
      </c>
      <c r="C20" s="421">
        <v>5</v>
      </c>
      <c r="D20" s="425">
        <v>466.5816</v>
      </c>
      <c r="E20" s="426">
        <f>D20/C20</f>
        <v>93.31631999999999</v>
      </c>
      <c r="F20" s="426">
        <v>2126</v>
      </c>
      <c r="G20" s="426">
        <f t="shared" si="1"/>
        <v>425.2</v>
      </c>
      <c r="H20" s="421">
        <v>3</v>
      </c>
      <c r="I20" s="426">
        <v>700</v>
      </c>
      <c r="J20" s="429">
        <v>7739</v>
      </c>
      <c r="K20" s="432">
        <f>'загальн.витрати'!Q22</f>
        <v>5244.856388174645</v>
      </c>
      <c r="L20" s="36">
        <f t="shared" si="2"/>
        <v>-2494.143611825355</v>
      </c>
    </row>
    <row r="21" spans="1:12" ht="35.25" customHeight="1">
      <c r="A21" s="272">
        <v>18</v>
      </c>
      <c r="B21" s="107" t="s">
        <v>351</v>
      </c>
      <c r="C21" s="421">
        <v>7</v>
      </c>
      <c r="D21" s="425">
        <v>1185.1127999999999</v>
      </c>
      <c r="E21" s="426">
        <f>D21/C21</f>
        <v>169.30182857142856</v>
      </c>
      <c r="F21" s="426">
        <v>5399</v>
      </c>
      <c r="G21" s="426">
        <f t="shared" si="1"/>
        <v>771.2857142857143</v>
      </c>
      <c r="H21" s="421">
        <v>7</v>
      </c>
      <c r="I21" s="426">
        <v>500</v>
      </c>
      <c r="J21" s="429">
        <v>10027</v>
      </c>
      <c r="K21" s="432">
        <f>'загальн.витрати'!Q23</f>
        <v>8206.413707231997</v>
      </c>
      <c r="L21" s="36">
        <f t="shared" si="2"/>
        <v>-1820.5862927680027</v>
      </c>
    </row>
    <row r="22" spans="1:12" ht="35.25" customHeight="1">
      <c r="A22" s="272">
        <v>19</v>
      </c>
      <c r="B22" s="107" t="str">
        <f>'свод по оборудованию'!B21</f>
        <v>м. Білицьке </v>
      </c>
      <c r="C22" s="421">
        <v>6</v>
      </c>
      <c r="D22" s="425">
        <f>917/7*6</f>
        <v>786</v>
      </c>
      <c r="E22" s="426">
        <f>D22/C22</f>
        <v>131</v>
      </c>
      <c r="F22" s="426">
        <f>4176/7*6</f>
        <v>3579.4285714285716</v>
      </c>
      <c r="G22" s="426">
        <f t="shared" si="1"/>
        <v>596.5714285714286</v>
      </c>
      <c r="H22" s="421">
        <v>5</v>
      </c>
      <c r="I22" s="426">
        <v>800</v>
      </c>
      <c r="J22" s="429">
        <v>12409</v>
      </c>
      <c r="K22" s="432">
        <f>'загальн.витрати'!Q24</f>
        <v>6498.777085631999</v>
      </c>
      <c r="L22" s="36">
        <f t="shared" si="2"/>
        <v>-5910.222914368001</v>
      </c>
    </row>
    <row r="23" spans="1:12" ht="35.25" customHeight="1">
      <c r="A23" s="272">
        <v>20</v>
      </c>
      <c r="B23" s="107" t="s">
        <v>569</v>
      </c>
      <c r="C23" s="421">
        <v>1</v>
      </c>
      <c r="D23" s="425">
        <f>917/7</f>
        <v>131</v>
      </c>
      <c r="E23" s="426">
        <f>D23/C23</f>
        <v>131</v>
      </c>
      <c r="F23" s="426">
        <f>4176/7</f>
        <v>596.5714285714286</v>
      </c>
      <c r="G23" s="426">
        <f t="shared" si="1"/>
        <v>596.5714285714286</v>
      </c>
      <c r="H23" s="421">
        <v>1</v>
      </c>
      <c r="I23" s="426">
        <v>350</v>
      </c>
      <c r="J23" s="429">
        <v>5427</v>
      </c>
      <c r="K23" s="432">
        <f>'загальн.витрати'!Q25</f>
        <v>1366.10929728</v>
      </c>
      <c r="L23" s="36">
        <f t="shared" si="2"/>
        <v>-4060.8907027200003</v>
      </c>
    </row>
    <row r="24" spans="1:12" ht="48.75" customHeight="1" thickBot="1">
      <c r="A24" s="414">
        <v>21</v>
      </c>
      <c r="B24" s="415" t="s">
        <v>534</v>
      </c>
      <c r="C24" s="416">
        <f>SUM(C5:C23)</f>
        <v>96</v>
      </c>
      <c r="D24" s="416">
        <f>SUM(D5:D23)</f>
        <v>4802.018800000002</v>
      </c>
      <c r="E24" s="416">
        <f>D24/C24</f>
        <v>50.021029166666686</v>
      </c>
      <c r="F24" s="416">
        <f>SUM(F5:F23)</f>
        <v>30690</v>
      </c>
      <c r="G24" s="416">
        <f t="shared" si="1"/>
        <v>319.6875</v>
      </c>
      <c r="H24" s="422">
        <f>SUM(H5:H23)</f>
        <v>109</v>
      </c>
      <c r="I24" s="416">
        <f>SUM(I5:I23)</f>
        <v>14354</v>
      </c>
      <c r="J24" s="416">
        <f>SUM(J5:J23)</f>
        <v>76184</v>
      </c>
      <c r="K24" s="417">
        <f>SUM(K5:K23)</f>
        <v>73623.26173072585</v>
      </c>
      <c r="L24" s="433">
        <f t="shared" si="2"/>
        <v>-2560.738269274152</v>
      </c>
    </row>
    <row r="27" spans="1:11" ht="61.5" customHeight="1">
      <c r="A27" s="278">
        <v>1</v>
      </c>
      <c r="B27" s="863"/>
      <c r="C27" s="864"/>
      <c r="D27" s="864"/>
      <c r="E27" s="864"/>
      <c r="F27" s="865"/>
      <c r="G27" s="865"/>
      <c r="H27" s="865"/>
      <c r="I27" s="865"/>
      <c r="J27" s="865"/>
      <c r="K27" s="865"/>
    </row>
    <row r="28" spans="1:11" ht="87" customHeight="1">
      <c r="A28" s="278">
        <v>2</v>
      </c>
      <c r="B28" s="863"/>
      <c r="C28" s="864"/>
      <c r="D28" s="864"/>
      <c r="E28" s="864"/>
      <c r="F28" s="865"/>
      <c r="G28" s="865"/>
      <c r="H28" s="865"/>
      <c r="I28" s="865"/>
      <c r="J28" s="865"/>
      <c r="K28" s="865"/>
    </row>
    <row r="29" spans="1:11" ht="87" customHeight="1">
      <c r="A29" s="278">
        <v>3</v>
      </c>
      <c r="B29" s="863"/>
      <c r="C29" s="864"/>
      <c r="D29" s="864"/>
      <c r="E29" s="864"/>
      <c r="F29" s="865"/>
      <c r="G29" s="865"/>
      <c r="H29" s="865"/>
      <c r="I29" s="865"/>
      <c r="J29" s="865"/>
      <c r="K29" s="865"/>
    </row>
    <row r="30" spans="1:11" ht="79.5" customHeight="1">
      <c r="A30" s="278">
        <v>4</v>
      </c>
      <c r="B30" s="863"/>
      <c r="C30" s="864"/>
      <c r="D30" s="864"/>
      <c r="E30" s="864"/>
      <c r="F30" s="865"/>
      <c r="G30" s="865"/>
      <c r="H30" s="865"/>
      <c r="I30" s="865"/>
      <c r="J30" s="865"/>
      <c r="K30" s="865"/>
    </row>
    <row r="31" spans="1:11" ht="27">
      <c r="A31" s="278">
        <v>5</v>
      </c>
      <c r="B31" s="863"/>
      <c r="C31" s="872"/>
      <c r="D31" s="872"/>
      <c r="E31" s="872"/>
      <c r="F31" s="872"/>
      <c r="G31" s="872"/>
      <c r="H31" s="872"/>
      <c r="I31" s="872"/>
      <c r="J31" s="872"/>
      <c r="K31" s="328"/>
    </row>
    <row r="32" spans="1:11" s="330" customFormat="1" ht="42" customHeight="1">
      <c r="A32" s="329">
        <v>6</v>
      </c>
      <c r="B32" s="873"/>
      <c r="C32" s="874"/>
      <c r="D32" s="874"/>
      <c r="E32" s="874"/>
      <c r="F32" s="874"/>
      <c r="G32" s="874"/>
      <c r="H32" s="874"/>
      <c r="I32" s="874"/>
      <c r="J32" s="874"/>
      <c r="K32" s="874"/>
    </row>
    <row r="33" spans="1:11" ht="52.5" customHeight="1">
      <c r="A33" s="278">
        <v>7</v>
      </c>
      <c r="B33" s="863"/>
      <c r="C33" s="864"/>
      <c r="D33" s="864"/>
      <c r="E33" s="864"/>
      <c r="F33" s="865"/>
      <c r="G33" s="865"/>
      <c r="H33" s="865"/>
      <c r="I33" s="865"/>
      <c r="J33" s="865"/>
      <c r="K33" s="865"/>
    </row>
    <row r="41" spans="2:8" ht="27">
      <c r="B41" s="280"/>
      <c r="C41" s="280"/>
      <c r="H41" s="278"/>
    </row>
    <row r="42" spans="2:3" ht="27">
      <c r="B42" s="280"/>
      <c r="C42" s="280"/>
    </row>
    <row r="43" spans="2:3" ht="27">
      <c r="B43" s="280"/>
      <c r="C43" s="280"/>
    </row>
    <row r="44" spans="2:3" ht="27">
      <c r="B44" s="280"/>
      <c r="C44" s="280"/>
    </row>
    <row r="45" spans="2:3" ht="27">
      <c r="B45" s="280"/>
      <c r="C45" s="280"/>
    </row>
    <row r="46" spans="2:3" ht="27">
      <c r="B46" s="280"/>
      <c r="C46" s="280"/>
    </row>
    <row r="47" spans="2:3" ht="27">
      <c r="B47" s="280"/>
      <c r="C47" s="280"/>
    </row>
    <row r="48" spans="2:3" ht="27">
      <c r="B48" s="280"/>
      <c r="C48" s="280"/>
    </row>
    <row r="49" spans="2:3" ht="27">
      <c r="B49" s="280"/>
      <c r="C49" s="280"/>
    </row>
    <row r="50" spans="2:3" ht="27">
      <c r="B50" s="280"/>
      <c r="C50" s="280"/>
    </row>
    <row r="51" spans="2:3" ht="27">
      <c r="B51" s="280"/>
      <c r="C51" s="280"/>
    </row>
    <row r="52" spans="2:3" ht="27">
      <c r="B52" s="280"/>
      <c r="C52" s="280"/>
    </row>
    <row r="53" spans="2:3" ht="27">
      <c r="B53" s="280"/>
      <c r="C53" s="280"/>
    </row>
    <row r="54" spans="2:3" ht="27">
      <c r="B54" s="280"/>
      <c r="C54" s="280"/>
    </row>
    <row r="55" spans="2:3" ht="27">
      <c r="B55" s="280"/>
      <c r="C55" s="280"/>
    </row>
    <row r="56" spans="2:3" ht="27">
      <c r="B56" s="280"/>
      <c r="C56" s="280"/>
    </row>
    <row r="57" spans="2:3" ht="27">
      <c r="B57" s="280"/>
      <c r="C57" s="280"/>
    </row>
    <row r="58" spans="2:3" ht="27">
      <c r="B58" s="280"/>
      <c r="C58" s="280"/>
    </row>
    <row r="59" spans="2:3" ht="27">
      <c r="B59" s="280"/>
      <c r="C59" s="280"/>
    </row>
    <row r="60" spans="2:3" ht="27">
      <c r="B60" s="280"/>
      <c r="C60" s="280"/>
    </row>
    <row r="61" spans="2:3" ht="27">
      <c r="B61" s="280"/>
      <c r="C61" s="280"/>
    </row>
    <row r="62" spans="2:3" ht="27">
      <c r="B62" s="280"/>
      <c r="C62" s="280"/>
    </row>
    <row r="63" spans="2:3" ht="27">
      <c r="B63" s="280"/>
      <c r="C63" s="280"/>
    </row>
    <row r="64" spans="2:3" ht="27">
      <c r="B64" s="280"/>
      <c r="C64" s="280"/>
    </row>
    <row r="65" spans="2:3" ht="27">
      <c r="B65" s="280"/>
      <c r="C65" s="280"/>
    </row>
    <row r="66" spans="2:3" ht="27">
      <c r="B66" s="280"/>
      <c r="C66" s="280"/>
    </row>
    <row r="67" spans="2:3" ht="27">
      <c r="B67" s="280"/>
      <c r="C67" s="280"/>
    </row>
    <row r="68" spans="2:3" ht="27">
      <c r="B68" s="280"/>
      <c r="C68" s="280"/>
    </row>
    <row r="69" spans="2:3" ht="27">
      <c r="B69" s="280"/>
      <c r="C69" s="280"/>
    </row>
    <row r="70" spans="2:3" ht="27">
      <c r="B70" s="280"/>
      <c r="C70" s="280"/>
    </row>
    <row r="71" spans="2:3" ht="27">
      <c r="B71" s="280"/>
      <c r="C71" s="280"/>
    </row>
    <row r="72" spans="2:3" ht="27">
      <c r="B72" s="280"/>
      <c r="C72" s="280"/>
    </row>
    <row r="73" spans="2:3" ht="27">
      <c r="B73" s="280"/>
      <c r="C73" s="280"/>
    </row>
    <row r="74" spans="2:3" ht="27">
      <c r="B74" s="280"/>
      <c r="C74" s="280"/>
    </row>
    <row r="75" spans="2:3" ht="27">
      <c r="B75" s="280"/>
      <c r="C75" s="280"/>
    </row>
    <row r="76" spans="2:3" ht="27">
      <c r="B76" s="280"/>
      <c r="C76" s="280"/>
    </row>
    <row r="77" spans="2:3" ht="27">
      <c r="B77" s="280"/>
      <c r="C77" s="280"/>
    </row>
    <row r="78" spans="2:3" ht="27">
      <c r="B78" s="280"/>
      <c r="C78" s="280"/>
    </row>
    <row r="79" spans="2:3" ht="27">
      <c r="B79" s="280"/>
      <c r="C79" s="280"/>
    </row>
    <row r="80" spans="2:3" ht="27">
      <c r="B80" s="280"/>
      <c r="C80" s="280"/>
    </row>
    <row r="81" spans="2:3" ht="27">
      <c r="B81" s="280"/>
      <c r="C81" s="280"/>
    </row>
    <row r="82" spans="2:3" ht="27">
      <c r="B82" s="280"/>
      <c r="C82" s="280"/>
    </row>
    <row r="83" spans="2:3" ht="27">
      <c r="B83" s="280"/>
      <c r="C83" s="280"/>
    </row>
    <row r="84" spans="2:3" ht="27">
      <c r="B84" s="280"/>
      <c r="C84" s="280"/>
    </row>
    <row r="85" spans="2:3" ht="27">
      <c r="B85" s="280"/>
      <c r="C85" s="280"/>
    </row>
    <row r="86" spans="2:3" ht="27">
      <c r="B86" s="280"/>
      <c r="C86" s="280"/>
    </row>
    <row r="87" spans="2:3" ht="27">
      <c r="B87" s="280"/>
      <c r="C87" s="280"/>
    </row>
    <row r="88" spans="2:3" ht="27">
      <c r="B88" s="280"/>
      <c r="C88" s="280"/>
    </row>
    <row r="89" spans="2:3" ht="27">
      <c r="B89" s="280"/>
      <c r="C89" s="280"/>
    </row>
    <row r="90" spans="2:3" ht="27">
      <c r="B90" s="280"/>
      <c r="C90" s="280"/>
    </row>
    <row r="91" spans="2:3" ht="27">
      <c r="B91" s="280"/>
      <c r="C91" s="280"/>
    </row>
    <row r="92" spans="2:3" ht="27">
      <c r="B92" s="280"/>
      <c r="C92" s="280"/>
    </row>
    <row r="93" spans="2:3" ht="27">
      <c r="B93" s="280"/>
      <c r="C93" s="280"/>
    </row>
    <row r="94" spans="2:3" ht="27">
      <c r="B94" s="280"/>
      <c r="C94" s="280"/>
    </row>
    <row r="95" spans="2:3" ht="27">
      <c r="B95" s="280"/>
      <c r="C95" s="280"/>
    </row>
    <row r="96" spans="2:3" ht="27">
      <c r="B96" s="280"/>
      <c r="C96" s="280"/>
    </row>
    <row r="97" spans="2:3" ht="27">
      <c r="B97" s="280"/>
      <c r="C97" s="280"/>
    </row>
    <row r="98" spans="2:3" ht="27">
      <c r="B98" s="280"/>
      <c r="C98" s="280"/>
    </row>
    <row r="99" spans="2:3" ht="27">
      <c r="B99" s="280"/>
      <c r="C99" s="280"/>
    </row>
    <row r="100" spans="2:3" ht="27">
      <c r="B100" s="280"/>
      <c r="C100" s="280"/>
    </row>
    <row r="101" spans="2:3" ht="27">
      <c r="B101" s="280"/>
      <c r="C101" s="280"/>
    </row>
    <row r="102" spans="2:3" ht="27">
      <c r="B102" s="280"/>
      <c r="C102" s="280"/>
    </row>
    <row r="103" spans="2:3" ht="27">
      <c r="B103" s="280"/>
      <c r="C103" s="280"/>
    </row>
    <row r="104" spans="2:3" ht="27">
      <c r="B104" s="280"/>
      <c r="C104" s="280"/>
    </row>
    <row r="105" spans="2:3" ht="27">
      <c r="B105" s="280"/>
      <c r="C105" s="280"/>
    </row>
    <row r="106" spans="2:3" ht="27">
      <c r="B106" s="280"/>
      <c r="C106" s="280"/>
    </row>
    <row r="107" spans="2:3" ht="27">
      <c r="B107" s="280"/>
      <c r="C107" s="280"/>
    </row>
    <row r="108" spans="2:3" ht="27">
      <c r="B108" s="280"/>
      <c r="C108" s="280"/>
    </row>
    <row r="109" spans="2:3" ht="27">
      <c r="B109" s="280"/>
      <c r="C109" s="280"/>
    </row>
    <row r="110" spans="2:3" ht="27">
      <c r="B110" s="280"/>
      <c r="C110" s="280"/>
    </row>
    <row r="111" spans="2:3" ht="27">
      <c r="B111" s="280"/>
      <c r="C111" s="280"/>
    </row>
    <row r="112" spans="2:3" ht="27">
      <c r="B112" s="280"/>
      <c r="C112" s="280"/>
    </row>
    <row r="113" spans="2:3" ht="27">
      <c r="B113" s="280"/>
      <c r="C113" s="280"/>
    </row>
    <row r="114" spans="2:3" ht="27">
      <c r="B114" s="280"/>
      <c r="C114" s="280"/>
    </row>
  </sheetData>
  <mergeCells count="18">
    <mergeCell ref="B30:K30"/>
    <mergeCell ref="B31:J31"/>
    <mergeCell ref="B33:K33"/>
    <mergeCell ref="B32:K32"/>
    <mergeCell ref="B29:K29"/>
    <mergeCell ref="D2:E2"/>
    <mergeCell ref="C2:C3"/>
    <mergeCell ref="B2:B3"/>
    <mergeCell ref="F2:G2"/>
    <mergeCell ref="H2:H3"/>
    <mergeCell ref="I2:I3"/>
    <mergeCell ref="K2:K3"/>
    <mergeCell ref="J2:J3"/>
    <mergeCell ref="A2:A3"/>
    <mergeCell ref="A1:L1"/>
    <mergeCell ref="B28:K28"/>
    <mergeCell ref="B27:K27"/>
    <mergeCell ref="L2:L3"/>
  </mergeCells>
  <printOptions horizontalCentered="1"/>
  <pageMargins left="0" right="0" top="0" bottom="0" header="0.5118110236220472" footer="0.5118110236220472"/>
  <pageSetup fitToHeight="1" fitToWidth="1" horizontalDpi="300" verticalDpi="300" orientation="landscape" paperSize="9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32"/>
  <sheetViews>
    <sheetView zoomScale="50" zoomScaleNormal="50" zoomScaleSheetLayoutView="75" workbookViewId="0" topLeftCell="A1">
      <selection activeCell="F9" sqref="F9"/>
    </sheetView>
  </sheetViews>
  <sheetFormatPr defaultColWidth="9.00390625" defaultRowHeight="12.75"/>
  <cols>
    <col min="1" max="1" width="6.00390625" style="30" customWidth="1"/>
    <col min="2" max="2" width="36.25390625" style="196" customWidth="1"/>
    <col min="3" max="3" width="19.25390625" style="30" customWidth="1"/>
    <col min="4" max="4" width="38.75390625" style="30" customWidth="1"/>
    <col min="5" max="5" width="19.375" style="163" customWidth="1"/>
    <col min="6" max="6" width="20.125" style="192" customWidth="1"/>
    <col min="7" max="7" width="20.875" style="26" customWidth="1"/>
    <col min="8" max="8" width="20.875" style="27" customWidth="1"/>
    <col min="9" max="9" width="27.25390625" style="27" customWidth="1"/>
    <col min="10" max="10" width="17.00390625" style="27" customWidth="1"/>
    <col min="11" max="11" width="19.875" style="26" customWidth="1"/>
    <col min="12" max="12" width="22.125" style="27" customWidth="1"/>
    <col min="13" max="13" width="18.00390625" style="27" customWidth="1"/>
    <col min="14" max="14" width="24.75390625" style="27" customWidth="1"/>
    <col min="15" max="15" width="22.25390625" style="27" customWidth="1"/>
    <col min="16" max="16" width="17.00390625" style="30" customWidth="1"/>
    <col min="17" max="17" width="26.25390625" style="30" customWidth="1"/>
    <col min="18" max="18" width="24.00390625" style="30" customWidth="1"/>
    <col min="19" max="20" width="30.625" style="30" customWidth="1"/>
    <col min="21" max="21" width="34.00390625" style="30" customWidth="1"/>
    <col min="22" max="22" width="15.125" style="30" customWidth="1"/>
    <col min="23" max="23" width="26.25390625" style="30" customWidth="1"/>
    <col min="24" max="24" width="46.00390625" style="27" customWidth="1"/>
    <col min="25" max="25" width="19.125" style="262" customWidth="1"/>
    <col min="26" max="26" width="20.875" style="262" customWidth="1"/>
    <col min="27" max="27" width="17.25390625" style="27" customWidth="1"/>
    <col min="28" max="28" width="16.75390625" style="27" customWidth="1"/>
    <col min="29" max="29" width="17.125" style="27" customWidth="1"/>
    <col min="30" max="30" width="18.125" style="27" customWidth="1"/>
    <col min="31" max="31" width="18.75390625" style="27" customWidth="1"/>
    <col min="32" max="32" width="16.125" style="27" customWidth="1"/>
    <col min="33" max="16384" width="9.125" style="30" customWidth="1"/>
  </cols>
  <sheetData>
    <row r="2" spans="1:32" ht="27.75" customHeight="1" thickBot="1">
      <c r="A2" s="752" t="s">
        <v>469</v>
      </c>
      <c r="B2" s="875"/>
      <c r="C2" s="875"/>
      <c r="D2" s="875"/>
      <c r="E2" s="875"/>
      <c r="F2" s="875"/>
      <c r="G2" s="875"/>
      <c r="H2" s="875"/>
      <c r="I2" s="875"/>
      <c r="J2" s="875"/>
      <c r="K2" s="875"/>
      <c r="L2" s="875"/>
      <c r="M2" s="875"/>
      <c r="N2" s="875"/>
      <c r="O2" s="875"/>
      <c r="P2" s="875"/>
      <c r="Q2" s="875"/>
      <c r="R2" s="875"/>
      <c r="S2" s="875"/>
      <c r="T2" s="875"/>
      <c r="U2" s="875"/>
      <c r="V2" s="875"/>
      <c r="W2" s="875"/>
      <c r="X2" s="875"/>
      <c r="Y2" s="875"/>
      <c r="Z2" s="875"/>
      <c r="AA2" s="875"/>
      <c r="AB2" s="875"/>
      <c r="AC2" s="875"/>
      <c r="AD2" s="875"/>
      <c r="AE2" s="875"/>
      <c r="AF2" s="875"/>
    </row>
    <row r="3" spans="1:32" s="254" customFormat="1" ht="380.25" customHeight="1">
      <c r="A3" s="890" t="s">
        <v>143</v>
      </c>
      <c r="B3" s="876" t="s">
        <v>163</v>
      </c>
      <c r="C3" s="878" t="s">
        <v>164</v>
      </c>
      <c r="D3" s="876" t="s">
        <v>599</v>
      </c>
      <c r="E3" s="878" t="s">
        <v>600</v>
      </c>
      <c r="F3" s="880" t="s">
        <v>601</v>
      </c>
      <c r="G3" s="882" t="s">
        <v>165</v>
      </c>
      <c r="H3" s="882" t="s">
        <v>602</v>
      </c>
      <c r="I3" s="882" t="s">
        <v>603</v>
      </c>
      <c r="J3" s="888" t="s">
        <v>257</v>
      </c>
      <c r="K3" s="894" t="s">
        <v>604</v>
      </c>
      <c r="L3" s="895"/>
      <c r="M3" s="884" t="s">
        <v>605</v>
      </c>
      <c r="N3" s="885"/>
      <c r="O3" s="441" t="s">
        <v>606</v>
      </c>
      <c r="P3" s="884" t="s">
        <v>258</v>
      </c>
      <c r="Q3" s="885"/>
      <c r="R3" s="439" t="s">
        <v>607</v>
      </c>
      <c r="S3" s="886" t="s">
        <v>610</v>
      </c>
      <c r="T3" s="887"/>
      <c r="U3" s="440" t="s">
        <v>608</v>
      </c>
      <c r="V3" s="786" t="s">
        <v>609</v>
      </c>
      <c r="W3" s="904"/>
      <c r="X3" s="289" t="s">
        <v>383</v>
      </c>
      <c r="Y3" s="290" t="s">
        <v>392</v>
      </c>
      <c r="Z3" s="290" t="s">
        <v>391</v>
      </c>
      <c r="AA3" s="892" t="s">
        <v>386</v>
      </c>
      <c r="AB3" s="903"/>
      <c r="AC3" s="892" t="s">
        <v>390</v>
      </c>
      <c r="AD3" s="901"/>
      <c r="AE3" s="892" t="s">
        <v>389</v>
      </c>
      <c r="AF3" s="893"/>
    </row>
    <row r="4" spans="1:32" s="254" customFormat="1" ht="151.5" customHeight="1">
      <c r="A4" s="891"/>
      <c r="B4" s="877"/>
      <c r="C4" s="879"/>
      <c r="D4" s="877"/>
      <c r="E4" s="879"/>
      <c r="F4" s="881"/>
      <c r="G4" s="883"/>
      <c r="H4" s="902"/>
      <c r="I4" s="883"/>
      <c r="J4" s="889"/>
      <c r="K4" s="169" t="s">
        <v>259</v>
      </c>
      <c r="L4" s="169" t="s">
        <v>260</v>
      </c>
      <c r="M4" s="205" t="s">
        <v>259</v>
      </c>
      <c r="N4" s="205" t="s">
        <v>260</v>
      </c>
      <c r="O4" s="205" t="s">
        <v>261</v>
      </c>
      <c r="P4" s="362" t="s">
        <v>262</v>
      </c>
      <c r="Q4" s="362" t="s">
        <v>394</v>
      </c>
      <c r="R4" s="362" t="s">
        <v>407</v>
      </c>
      <c r="S4" s="362" t="s">
        <v>266</v>
      </c>
      <c r="T4" s="362" t="s">
        <v>263</v>
      </c>
      <c r="U4" s="362" t="s">
        <v>840</v>
      </c>
      <c r="V4" s="362" t="s">
        <v>840</v>
      </c>
      <c r="W4" s="362" t="s">
        <v>349</v>
      </c>
      <c r="X4" s="266" t="s">
        <v>263</v>
      </c>
      <c r="Y4" s="294" t="s">
        <v>384</v>
      </c>
      <c r="Z4" s="294" t="s">
        <v>385</v>
      </c>
      <c r="AA4" s="266" t="s">
        <v>387</v>
      </c>
      <c r="AB4" s="266" t="s">
        <v>388</v>
      </c>
      <c r="AC4" s="266" t="s">
        <v>846</v>
      </c>
      <c r="AD4" s="266" t="s">
        <v>847</v>
      </c>
      <c r="AE4" s="266" t="s">
        <v>846</v>
      </c>
      <c r="AF4" s="295" t="s">
        <v>848</v>
      </c>
    </row>
    <row r="5" spans="1:32" s="254" customFormat="1" ht="39" customHeight="1" thickBot="1">
      <c r="A5" s="300">
        <v>1</v>
      </c>
      <c r="B5" s="301">
        <v>2</v>
      </c>
      <c r="C5" s="301">
        <v>3</v>
      </c>
      <c r="D5" s="298">
        <v>4</v>
      </c>
      <c r="E5" s="301">
        <v>5</v>
      </c>
      <c r="F5" s="301">
        <v>6</v>
      </c>
      <c r="G5" s="301">
        <v>7</v>
      </c>
      <c r="H5" s="301">
        <v>8</v>
      </c>
      <c r="I5" s="301">
        <v>9</v>
      </c>
      <c r="J5" s="301">
        <v>10</v>
      </c>
      <c r="K5" s="301">
        <v>11</v>
      </c>
      <c r="L5" s="301">
        <v>12</v>
      </c>
      <c r="M5" s="301">
        <v>13</v>
      </c>
      <c r="N5" s="301">
        <v>14</v>
      </c>
      <c r="O5" s="301">
        <v>15</v>
      </c>
      <c r="P5" s="301">
        <v>16</v>
      </c>
      <c r="Q5" s="301">
        <v>17</v>
      </c>
      <c r="R5" s="301">
        <v>18</v>
      </c>
      <c r="S5" s="301">
        <v>19</v>
      </c>
      <c r="T5" s="301">
        <v>20</v>
      </c>
      <c r="U5" s="301">
        <v>21</v>
      </c>
      <c r="V5" s="301">
        <v>22</v>
      </c>
      <c r="W5" s="301">
        <v>23</v>
      </c>
      <c r="X5" s="301">
        <v>24</v>
      </c>
      <c r="Y5" s="301">
        <v>25</v>
      </c>
      <c r="Z5" s="301">
        <v>26</v>
      </c>
      <c r="AA5" s="301">
        <v>27</v>
      </c>
      <c r="AB5" s="301">
        <v>28</v>
      </c>
      <c r="AC5" s="301">
        <v>29</v>
      </c>
      <c r="AD5" s="301">
        <v>30</v>
      </c>
      <c r="AE5" s="301">
        <v>31</v>
      </c>
      <c r="AF5" s="302">
        <v>32</v>
      </c>
    </row>
    <row r="6" spans="1:32" ht="69.75" customHeight="1">
      <c r="A6" s="307">
        <v>1</v>
      </c>
      <c r="B6" s="308" t="s">
        <v>363</v>
      </c>
      <c r="C6" s="309">
        <f>'свод по оборудованию'!C4</f>
        <v>8</v>
      </c>
      <c r="D6" s="480" t="s">
        <v>579</v>
      </c>
      <c r="E6" s="310">
        <f>'исх.данные'!I15+'исх.данные'!L15</f>
        <v>50474</v>
      </c>
      <c r="F6" s="311">
        <f>'сравнение затрат до и после Зах'!N16</f>
        <v>667.5</v>
      </c>
      <c r="G6" s="312">
        <f>'сравнение затрат до и после Зах'!K16</f>
        <v>13350</v>
      </c>
      <c r="H6" s="311">
        <f>G6/O6</f>
        <v>1207.0524412296563</v>
      </c>
      <c r="I6" s="311">
        <f>'таб 5 - отсюда только ее брать'!AC8</f>
        <v>2509</v>
      </c>
      <c r="J6" s="311">
        <f>'сравнение затрат до и после Зах'!Y16</f>
        <v>0</v>
      </c>
      <c r="K6" s="312">
        <f>G6+I6+F6+J6</f>
        <v>16526.5</v>
      </c>
      <c r="L6" s="311">
        <f>K6/E6*1000</f>
        <v>327.4260015057257</v>
      </c>
      <c r="M6" s="311">
        <f>F6+G6+J6</f>
        <v>14017.5</v>
      </c>
      <c r="N6" s="311">
        <f>M6/E6*1000</f>
        <v>277.71724055949596</v>
      </c>
      <c r="O6" s="311">
        <f>'сравнение затрат до и после Зах'!D16</f>
        <v>11.06</v>
      </c>
      <c r="P6" s="309">
        <f>O6*1.163*2.34*1000</f>
        <v>30098.9052</v>
      </c>
      <c r="Q6" s="309">
        <f>P6*'загальн.витрати'!$C$31/100</f>
        <v>2698.0658621279995</v>
      </c>
      <c r="R6" s="309">
        <f>'Расчет затрат на содержание'!I5</f>
        <v>1451</v>
      </c>
      <c r="S6" s="309">
        <f>(R6+Q6)/O6</f>
        <v>375.14157885424953</v>
      </c>
      <c r="T6" s="311">
        <f>S6*0.1/12</f>
        <v>3.1261798237854133</v>
      </c>
      <c r="U6" s="309">
        <f aca="true" t="shared" si="0" ref="U6:U13">G6*$J$31/100</f>
        <v>1335</v>
      </c>
      <c r="V6" s="309">
        <f>Q6+R6+U6</f>
        <v>5484.065862128</v>
      </c>
      <c r="W6" s="309">
        <f aca="true" t="shared" si="1" ref="W6:W13">V6/O6</f>
        <v>495.84682297721514</v>
      </c>
      <c r="X6" s="311">
        <f>W6*0.1/12</f>
        <v>4.13205685814346</v>
      </c>
      <c r="Y6" s="313">
        <f>267*1.2</f>
        <v>320.4</v>
      </c>
      <c r="Z6" s="313">
        <f>Y6*0.1/12</f>
        <v>2.67</v>
      </c>
      <c r="AA6" s="311">
        <v>2.2</v>
      </c>
      <c r="AB6" s="312">
        <v>2.64</v>
      </c>
      <c r="AC6" s="311">
        <v>161.78</v>
      </c>
      <c r="AD6" s="312">
        <v>194.14</v>
      </c>
      <c r="AE6" s="311">
        <v>230.24</v>
      </c>
      <c r="AF6" s="314">
        <f aca="true" t="shared" si="2" ref="AF6:AF13">AE6*1.2</f>
        <v>276.288</v>
      </c>
    </row>
    <row r="7" spans="1:32" ht="48.75" customHeight="1">
      <c r="A7" s="315">
        <v>2</v>
      </c>
      <c r="B7" s="303" t="s">
        <v>359</v>
      </c>
      <c r="C7" s="270">
        <f>'свод по оборудованию'!C5</f>
        <v>3</v>
      </c>
      <c r="D7" s="435" t="s">
        <v>580</v>
      </c>
      <c r="E7" s="148">
        <f>'исх.данные'!I24+'исх.данные'!L24</f>
        <v>67315</v>
      </c>
      <c r="F7" s="269" t="e">
        <f>'сравнение затрат до и после Зах'!N25</f>
        <v>#REF!</v>
      </c>
      <c r="G7" s="271" t="e">
        <f>'сравнение затрат до и после Зах'!K25</f>
        <v>#REF!</v>
      </c>
      <c r="H7" s="269" t="e">
        <f aca="true" t="shared" si="3" ref="H7:H26">G7/O7</f>
        <v>#REF!</v>
      </c>
      <c r="I7" s="269">
        <f>'таб 5 - отсюда только ее брать'!AC9</f>
        <v>27010</v>
      </c>
      <c r="J7" s="269">
        <f>'сравнение затрат до и после Зах'!Y25</f>
        <v>0</v>
      </c>
      <c r="K7" s="271" t="e">
        <f aca="true" t="shared" si="4" ref="K7:K25">G7+I7+F7+J7</f>
        <v>#REF!</v>
      </c>
      <c r="L7" s="269" t="e">
        <f aca="true" t="shared" si="5" ref="L7:L26">K7/E7*1000</f>
        <v>#REF!</v>
      </c>
      <c r="M7" s="269" t="e">
        <f aca="true" t="shared" si="6" ref="M7:M26">F7+G7+J7</f>
        <v>#REF!</v>
      </c>
      <c r="N7" s="269" t="e">
        <f aca="true" t="shared" si="7" ref="N7:N26">M7/E7*1000</f>
        <v>#REF!</v>
      </c>
      <c r="O7" s="269">
        <f>'сравнение затрат до и после Зах'!D25</f>
        <v>5.6499999999999995</v>
      </c>
      <c r="P7" s="270">
        <f aca="true" t="shared" si="8" ref="P7:P25">O7*1.163*2.34*1000</f>
        <v>15376.022999999997</v>
      </c>
      <c r="Q7" s="270">
        <f>P7*'загальн.витрати'!$C$31/100</f>
        <v>1378.3067017199996</v>
      </c>
      <c r="R7" s="270">
        <f>'Расчет затрат на содержание'!I6</f>
        <v>1751</v>
      </c>
      <c r="S7" s="270">
        <f aca="true" t="shared" si="9" ref="S7:S25">(R7+Q7)/O7</f>
        <v>553.8595932247788</v>
      </c>
      <c r="T7" s="269">
        <f>S7*0.22/12</f>
        <v>10.154092542454277</v>
      </c>
      <c r="U7" s="270" t="e">
        <f t="shared" si="0"/>
        <v>#REF!</v>
      </c>
      <c r="V7" s="270" t="e">
        <f aca="true" t="shared" si="10" ref="V7:V13">Q7+R7+U7</f>
        <v>#REF!</v>
      </c>
      <c r="W7" s="270" t="e">
        <f t="shared" si="1"/>
        <v>#REF!</v>
      </c>
      <c r="X7" s="269" t="e">
        <f>W7*0.22/12</f>
        <v>#REF!</v>
      </c>
      <c r="Y7" s="281">
        <f>267*1.2</f>
        <v>320.4</v>
      </c>
      <c r="Z7" s="281">
        <f>Y7*0.22/12</f>
        <v>5.874</v>
      </c>
      <c r="AA7" s="269">
        <v>2.2</v>
      </c>
      <c r="AB7" s="271">
        <v>2.64</v>
      </c>
      <c r="AC7" s="269">
        <v>161.78</v>
      </c>
      <c r="AD7" s="271">
        <v>194.14</v>
      </c>
      <c r="AE7" s="269">
        <v>230.24</v>
      </c>
      <c r="AF7" s="282">
        <f t="shared" si="2"/>
        <v>276.288</v>
      </c>
    </row>
    <row r="8" spans="1:32" ht="51.75" customHeight="1">
      <c r="A8" s="315">
        <v>3</v>
      </c>
      <c r="B8" s="303" t="s">
        <v>362</v>
      </c>
      <c r="C8" s="270">
        <f>'свод по оборудованию'!C6</f>
        <v>3</v>
      </c>
      <c r="D8" s="435" t="s">
        <v>581</v>
      </c>
      <c r="E8" s="148">
        <f>'исх.данные'!I31+'исх.данные'!L31</f>
        <v>19096</v>
      </c>
      <c r="F8" s="269">
        <f>'сравнение затрат до и после Зах'!N32</f>
        <v>270</v>
      </c>
      <c r="G8" s="271">
        <f>'сравнение затрат до и после Зах'!K32</f>
        <v>5400</v>
      </c>
      <c r="H8" s="269">
        <f t="shared" si="3"/>
        <v>1604.27807486631</v>
      </c>
      <c r="I8" s="269">
        <f>'таб 5 - отсюда только ее брать'!AC10</f>
        <v>1609</v>
      </c>
      <c r="J8" s="269">
        <f>'сравнение затрат до и после Зах'!Y32</f>
        <v>0</v>
      </c>
      <c r="K8" s="271">
        <f t="shared" si="4"/>
        <v>7279</v>
      </c>
      <c r="L8" s="269">
        <f t="shared" si="5"/>
        <v>381.17930456640136</v>
      </c>
      <c r="M8" s="269">
        <f t="shared" si="6"/>
        <v>5670</v>
      </c>
      <c r="N8" s="269">
        <f t="shared" si="7"/>
        <v>296.9208211143695</v>
      </c>
      <c r="O8" s="269">
        <f>'сравнение затрат до и после Зах'!D32</f>
        <v>3.3660000000000005</v>
      </c>
      <c r="P8" s="270">
        <f t="shared" si="8"/>
        <v>9160.29972</v>
      </c>
      <c r="Q8" s="270">
        <f>P8*'загальн.витрати'!$C$31/100</f>
        <v>821.1292669008</v>
      </c>
      <c r="R8" s="270">
        <f>'Расчет затрат на содержание'!I7</f>
        <v>400</v>
      </c>
      <c r="S8" s="270">
        <f t="shared" si="9"/>
        <v>362.7835017530599</v>
      </c>
      <c r="T8" s="269">
        <f>S8*0.2/12</f>
        <v>6.046391695884332</v>
      </c>
      <c r="U8" s="270">
        <f t="shared" si="0"/>
        <v>540</v>
      </c>
      <c r="V8" s="270">
        <f t="shared" si="10"/>
        <v>1761.1292669007998</v>
      </c>
      <c r="W8" s="270">
        <f t="shared" si="1"/>
        <v>523.2113092396909</v>
      </c>
      <c r="X8" s="269">
        <f>W8*0.2/12</f>
        <v>8.720188487328182</v>
      </c>
      <c r="Y8" s="281">
        <f>267*1.2</f>
        <v>320.4</v>
      </c>
      <c r="Z8" s="281">
        <f>Y8*0.2/12</f>
        <v>5.34</v>
      </c>
      <c r="AA8" s="269">
        <v>2.2</v>
      </c>
      <c r="AB8" s="271">
        <v>2.64</v>
      </c>
      <c r="AC8" s="269">
        <v>161.78</v>
      </c>
      <c r="AD8" s="271">
        <v>194.14</v>
      </c>
      <c r="AE8" s="269">
        <v>230.24</v>
      </c>
      <c r="AF8" s="282">
        <f t="shared" si="2"/>
        <v>276.288</v>
      </c>
    </row>
    <row r="9" spans="1:32" ht="51.75" customHeight="1">
      <c r="A9" s="315">
        <v>4</v>
      </c>
      <c r="B9" s="303" t="s">
        <v>364</v>
      </c>
      <c r="C9" s="270">
        <f>'свод по оборудованию'!C7</f>
        <v>16</v>
      </c>
      <c r="D9" s="435" t="s">
        <v>582</v>
      </c>
      <c r="E9" s="148">
        <f>'исх.данные'!I53+'исх.данные'!L53</f>
        <v>46925</v>
      </c>
      <c r="F9" s="269" t="e">
        <f>'сравнение затрат до и после Зах'!N54</f>
        <v>#REF!</v>
      </c>
      <c r="G9" s="271" t="e">
        <f>'сравнение затрат до и после Зах'!K54</f>
        <v>#REF!</v>
      </c>
      <c r="H9" s="269" t="e">
        <f t="shared" si="3"/>
        <v>#REF!</v>
      </c>
      <c r="I9" s="269">
        <f>'таб 5 - отсюда только ее брать'!AC11</f>
        <v>5427</v>
      </c>
      <c r="J9" s="269">
        <f>'сравнение затрат до и после Зах'!Y54</f>
        <v>0</v>
      </c>
      <c r="K9" s="271" t="e">
        <f t="shared" si="4"/>
        <v>#REF!</v>
      </c>
      <c r="L9" s="269" t="e">
        <f t="shared" si="5"/>
        <v>#REF!</v>
      </c>
      <c r="M9" s="269" t="e">
        <f t="shared" si="6"/>
        <v>#REF!</v>
      </c>
      <c r="N9" s="269" t="e">
        <f t="shared" si="7"/>
        <v>#REF!</v>
      </c>
      <c r="O9" s="269">
        <f>'сравнение затрат до и после Зах'!D54</f>
        <v>7.930000000000001</v>
      </c>
      <c r="P9" s="270">
        <f t="shared" si="8"/>
        <v>21580.860599999996</v>
      </c>
      <c r="Q9" s="270">
        <f>P9*'загальн.витрати'!$C$31/100</f>
        <v>1934.5083441839993</v>
      </c>
      <c r="R9" s="270">
        <f>'Расчет затрат на содержание'!I8</f>
        <v>1000</v>
      </c>
      <c r="S9" s="270">
        <f t="shared" si="9"/>
        <v>370.0514935919293</v>
      </c>
      <c r="T9" s="269">
        <f>S9*0.15/12</f>
        <v>4.625643669899116</v>
      </c>
      <c r="U9" s="270" t="e">
        <f t="shared" si="0"/>
        <v>#REF!</v>
      </c>
      <c r="V9" s="270" t="e">
        <f t="shared" si="10"/>
        <v>#REF!</v>
      </c>
      <c r="W9" s="270" t="e">
        <f t="shared" si="1"/>
        <v>#REF!</v>
      </c>
      <c r="X9" s="269" t="e">
        <f>W9*0.15/12</f>
        <v>#REF!</v>
      </c>
      <c r="Y9" s="281">
        <f>267*1.2</f>
        <v>320.4</v>
      </c>
      <c r="Z9" s="281">
        <f>Y9*0.15/12</f>
        <v>4.005</v>
      </c>
      <c r="AA9" s="269">
        <v>2.2</v>
      </c>
      <c r="AB9" s="271">
        <v>2.64</v>
      </c>
      <c r="AC9" s="269">
        <v>161.78</v>
      </c>
      <c r="AD9" s="271">
        <v>194.14</v>
      </c>
      <c r="AE9" s="269">
        <v>230.24</v>
      </c>
      <c r="AF9" s="282">
        <f t="shared" si="2"/>
        <v>276.288</v>
      </c>
    </row>
    <row r="10" spans="1:32" ht="51.75" customHeight="1">
      <c r="A10" s="315">
        <v>5</v>
      </c>
      <c r="B10" s="303" t="s">
        <v>358</v>
      </c>
      <c r="C10" s="270">
        <f>'свод по оборудованию'!C8</f>
        <v>1</v>
      </c>
      <c r="D10" s="435" t="s">
        <v>583</v>
      </c>
      <c r="E10" s="148">
        <f>'исх.данные'!I67+'исх.данные'!L67</f>
        <v>148074.3</v>
      </c>
      <c r="F10" s="269" t="e">
        <f>'сравнение затрат до и после Зах'!N68</f>
        <v>#REF!</v>
      </c>
      <c r="G10" s="271" t="e">
        <f>'сравнение затрат до и после Зах'!K68</f>
        <v>#REF!</v>
      </c>
      <c r="H10" s="269" t="e">
        <f t="shared" si="3"/>
        <v>#REF!</v>
      </c>
      <c r="I10" s="269">
        <f>'таб 5 - отсюда только ее брать'!AC12</f>
        <v>5157.5</v>
      </c>
      <c r="J10" s="269">
        <f>'сравнение затрат до и после Зах'!Y54</f>
        <v>0</v>
      </c>
      <c r="K10" s="271" t="e">
        <f t="shared" si="4"/>
        <v>#REF!</v>
      </c>
      <c r="L10" s="269" t="e">
        <f t="shared" si="5"/>
        <v>#REF!</v>
      </c>
      <c r="M10" s="269" t="e">
        <f t="shared" si="6"/>
        <v>#REF!</v>
      </c>
      <c r="N10" s="269" t="e">
        <f t="shared" si="7"/>
        <v>#REF!</v>
      </c>
      <c r="O10" s="269">
        <f>'сравнение затрат до и после Зах'!D68</f>
        <v>20</v>
      </c>
      <c r="P10" s="270">
        <f t="shared" si="8"/>
        <v>54428.4</v>
      </c>
      <c r="Q10" s="270">
        <f>P10*'загальн.витрати'!$C$31/100</f>
        <v>4878.961775999999</v>
      </c>
      <c r="R10" s="270">
        <f>'Расчет затрат на содержание'!I9</f>
        <v>600</v>
      </c>
      <c r="S10" s="270">
        <f>(R10+Q10)/O10</f>
        <v>273.94808879999994</v>
      </c>
      <c r="T10" s="269">
        <f>S10*0.15/12</f>
        <v>3.4243511099999995</v>
      </c>
      <c r="U10" s="270" t="e">
        <f t="shared" si="0"/>
        <v>#REF!</v>
      </c>
      <c r="V10" s="270" t="e">
        <f t="shared" si="10"/>
        <v>#REF!</v>
      </c>
      <c r="W10" s="270" t="e">
        <f t="shared" si="1"/>
        <v>#REF!</v>
      </c>
      <c r="X10" s="269" t="e">
        <f>W10*0.15/12</f>
        <v>#REF!</v>
      </c>
      <c r="Y10" s="281">
        <f>211*1.2</f>
        <v>253.2</v>
      </c>
      <c r="Z10" s="281">
        <f>Y10*0.15/12</f>
        <v>3.1649999999999996</v>
      </c>
      <c r="AA10" s="269">
        <v>1.62</v>
      </c>
      <c r="AB10" s="271">
        <v>1.94</v>
      </c>
      <c r="AC10" s="269">
        <v>58.08</v>
      </c>
      <c r="AD10" s="271">
        <v>69.7</v>
      </c>
      <c r="AE10" s="269">
        <v>58.08</v>
      </c>
      <c r="AF10" s="282">
        <f t="shared" si="2"/>
        <v>69.696</v>
      </c>
    </row>
    <row r="11" spans="1:32" ht="51.75" customHeight="1">
      <c r="A11" s="315">
        <v>6</v>
      </c>
      <c r="B11" s="303" t="s">
        <v>357</v>
      </c>
      <c r="C11" s="270">
        <f>'свод по оборудованию'!C9</f>
        <v>2</v>
      </c>
      <c r="D11" s="435" t="s">
        <v>584</v>
      </c>
      <c r="E11" s="148">
        <f>'исх.данные'!I71+'исх.данные'!L71</f>
        <v>4991</v>
      </c>
      <c r="F11" s="269" t="e">
        <f>'сравнение затрат до и после Зах'!N72</f>
        <v>#REF!</v>
      </c>
      <c r="G11" s="271" t="e">
        <f>'сравнение затрат до и после Зах'!K72</f>
        <v>#REF!</v>
      </c>
      <c r="H11" s="269" t="e">
        <f t="shared" si="3"/>
        <v>#REF!</v>
      </c>
      <c r="I11" s="269">
        <f>'таб 5 - отсюда только ее брать'!AC13</f>
        <v>1205</v>
      </c>
      <c r="J11" s="269">
        <f>'сравнение затрат до и после Зах'!Y72</f>
        <v>0</v>
      </c>
      <c r="K11" s="271" t="e">
        <f t="shared" si="4"/>
        <v>#REF!</v>
      </c>
      <c r="L11" s="269" t="e">
        <f t="shared" si="5"/>
        <v>#REF!</v>
      </c>
      <c r="M11" s="269" t="e">
        <f t="shared" si="6"/>
        <v>#REF!</v>
      </c>
      <c r="N11" s="269" t="e">
        <f t="shared" si="7"/>
        <v>#REF!</v>
      </c>
      <c r="O11" s="269">
        <f>'сравнение затрат до и после Зах'!D72</f>
        <v>0.61</v>
      </c>
      <c r="P11" s="270">
        <f t="shared" si="8"/>
        <v>1660.0662</v>
      </c>
      <c r="Q11" s="270">
        <f>P11*'загальн.витрати'!$C$31/100</f>
        <v>148.808334168</v>
      </c>
      <c r="R11" s="270">
        <f>'Расчет затрат на содержание'!I10</f>
        <v>100</v>
      </c>
      <c r="S11" s="270">
        <f t="shared" si="9"/>
        <v>407.88251502950817</v>
      </c>
      <c r="T11" s="269">
        <f>S11*0.2/12</f>
        <v>6.7980419171584705</v>
      </c>
      <c r="U11" s="270" t="e">
        <f t="shared" si="0"/>
        <v>#REF!</v>
      </c>
      <c r="V11" s="270" t="e">
        <f t="shared" si="10"/>
        <v>#REF!</v>
      </c>
      <c r="W11" s="270" t="e">
        <f t="shared" si="1"/>
        <v>#REF!</v>
      </c>
      <c r="X11" s="269" t="e">
        <f>W11*0.2/12</f>
        <v>#REF!</v>
      </c>
      <c r="Y11" s="281">
        <f>365*1.2</f>
        <v>438</v>
      </c>
      <c r="Z11" s="281">
        <f>Y11*0.15/12</f>
        <v>5.4750000000000005</v>
      </c>
      <c r="AA11" s="269">
        <v>2.2</v>
      </c>
      <c r="AB11" s="271">
        <v>2.64</v>
      </c>
      <c r="AC11" s="269">
        <v>161.78</v>
      </c>
      <c r="AD11" s="271">
        <v>194.14</v>
      </c>
      <c r="AE11" s="269">
        <v>230.24</v>
      </c>
      <c r="AF11" s="282">
        <f t="shared" si="2"/>
        <v>276.288</v>
      </c>
    </row>
    <row r="12" spans="1:32" ht="51.75" customHeight="1">
      <c r="A12" s="315">
        <v>7</v>
      </c>
      <c r="B12" s="303" t="s">
        <v>365</v>
      </c>
      <c r="C12" s="270">
        <f>'свод по оборудованию'!C10</f>
        <v>26</v>
      </c>
      <c r="D12" s="435" t="s">
        <v>585</v>
      </c>
      <c r="E12" s="148">
        <f>'исх.данные'!I99+'исх.данные'!L99</f>
        <v>449796</v>
      </c>
      <c r="F12" s="269" t="e">
        <f>'сравнение затрат до и после Зах'!N100</f>
        <v>#REF!</v>
      </c>
      <c r="G12" s="271" t="e">
        <f>'сравнение затрат до и после Зах'!K100</f>
        <v>#REF!</v>
      </c>
      <c r="H12" s="269" t="e">
        <f t="shared" si="3"/>
        <v>#REF!</v>
      </c>
      <c r="I12" s="269">
        <f>'таб 5 - отсюда только ее брать'!AC14</f>
        <v>56660</v>
      </c>
      <c r="J12" s="269">
        <f>'сравнение затрат до и после Зах'!Y100</f>
        <v>2053.162318412734</v>
      </c>
      <c r="K12" s="271" t="e">
        <f t="shared" si="4"/>
        <v>#REF!</v>
      </c>
      <c r="L12" s="269" t="e">
        <f t="shared" si="5"/>
        <v>#REF!</v>
      </c>
      <c r="M12" s="269" t="e">
        <f t="shared" si="6"/>
        <v>#REF!</v>
      </c>
      <c r="N12" s="269" t="e">
        <f t="shared" si="7"/>
        <v>#REF!</v>
      </c>
      <c r="O12" s="269">
        <f>'сравнение затрат до и после Зах'!D100</f>
        <v>69.00000000000001</v>
      </c>
      <c r="P12" s="270">
        <f t="shared" si="8"/>
        <v>187777.98</v>
      </c>
      <c r="Q12" s="270">
        <f>P12*'загальн.витрати'!$C$31/100</f>
        <v>16832.4181272</v>
      </c>
      <c r="R12" s="270">
        <f>'Расчет затрат на содержание'!I11</f>
        <v>1301</v>
      </c>
      <c r="S12" s="270">
        <f t="shared" si="9"/>
        <v>262.80316126376806</v>
      </c>
      <c r="T12" s="269">
        <f>S12*0.2/12</f>
        <v>4.380052687729468</v>
      </c>
      <c r="U12" s="270" t="e">
        <f t="shared" si="0"/>
        <v>#REF!</v>
      </c>
      <c r="V12" s="270" t="e">
        <f t="shared" si="10"/>
        <v>#REF!</v>
      </c>
      <c r="W12" s="270" t="e">
        <f t="shared" si="1"/>
        <v>#REF!</v>
      </c>
      <c r="X12" s="269" t="e">
        <f>W12*0.2/12</f>
        <v>#REF!</v>
      </c>
      <c r="Y12" s="281">
        <f>376*1.2</f>
        <v>451.2</v>
      </c>
      <c r="Z12" s="281">
        <f>Y12*0.15/12</f>
        <v>5.64</v>
      </c>
      <c r="AA12" s="269">
        <v>4.4</v>
      </c>
      <c r="AB12" s="271">
        <f>AA12*1.2</f>
        <v>5.28</v>
      </c>
      <c r="AC12" s="269">
        <v>161.78</v>
      </c>
      <c r="AD12" s="271">
        <f>AC12*1.2</f>
        <v>194.136</v>
      </c>
      <c r="AE12" s="269">
        <v>313.17</v>
      </c>
      <c r="AF12" s="282">
        <f t="shared" si="2"/>
        <v>375.80400000000003</v>
      </c>
    </row>
    <row r="13" spans="1:32" ht="51.75" customHeight="1">
      <c r="A13" s="315">
        <v>8</v>
      </c>
      <c r="B13" s="303" t="s">
        <v>360</v>
      </c>
      <c r="C13" s="270">
        <f>'свод по оборудованию'!C11</f>
        <v>1</v>
      </c>
      <c r="D13" s="435" t="s">
        <v>586</v>
      </c>
      <c r="E13" s="148">
        <f>'исх.данные'!I112+'исх.данные'!L112</f>
        <v>269330</v>
      </c>
      <c r="F13" s="269" t="e">
        <f>'сравнение затрат до и после Зах'!N113</f>
        <v>#REF!</v>
      </c>
      <c r="G13" s="271" t="e">
        <f>'сравнение затрат до и после Зах'!K113</f>
        <v>#REF!</v>
      </c>
      <c r="H13" s="269" t="e">
        <f t="shared" si="3"/>
        <v>#REF!</v>
      </c>
      <c r="I13" s="269">
        <f>'таб 5 - отсюда только ее брать'!AC15</f>
        <v>3230</v>
      </c>
      <c r="J13" s="269">
        <f>'сравнение затрат до и после Зах'!Y113</f>
        <v>0</v>
      </c>
      <c r="K13" s="271" t="e">
        <f t="shared" si="4"/>
        <v>#REF!</v>
      </c>
      <c r="L13" s="269" t="e">
        <f t="shared" si="5"/>
        <v>#REF!</v>
      </c>
      <c r="M13" s="269" t="e">
        <f t="shared" si="6"/>
        <v>#REF!</v>
      </c>
      <c r="N13" s="269" t="e">
        <f t="shared" si="7"/>
        <v>#REF!</v>
      </c>
      <c r="O13" s="269">
        <f>'сравнение затрат до и после Зах'!D113</f>
        <v>12.795000000000002</v>
      </c>
      <c r="P13" s="270">
        <f t="shared" si="8"/>
        <v>34820.568900000006</v>
      </c>
      <c r="Q13" s="270">
        <f>P13*'загальн.витрати'!$C$31/100</f>
        <v>3121.3157961960005</v>
      </c>
      <c r="R13" s="270">
        <f>'Расчет затрат на содержание'!I12</f>
        <v>550</v>
      </c>
      <c r="S13" s="270">
        <f t="shared" si="9"/>
        <v>286.93363002704183</v>
      </c>
      <c r="T13" s="269">
        <f>S13*0.2/12</f>
        <v>4.782227167117364</v>
      </c>
      <c r="U13" s="270" t="e">
        <f t="shared" si="0"/>
        <v>#REF!</v>
      </c>
      <c r="V13" s="270" t="e">
        <f t="shared" si="10"/>
        <v>#REF!</v>
      </c>
      <c r="W13" s="270" t="e">
        <f t="shared" si="1"/>
        <v>#REF!</v>
      </c>
      <c r="X13" s="269" t="e">
        <f>W13*0.2/12</f>
        <v>#REF!</v>
      </c>
      <c r="Y13" s="281"/>
      <c r="Z13" s="281"/>
      <c r="AA13" s="269">
        <v>2.91</v>
      </c>
      <c r="AB13" s="271">
        <v>3.49</v>
      </c>
      <c r="AC13" s="269">
        <v>68.83</v>
      </c>
      <c r="AD13" s="271">
        <v>82.6</v>
      </c>
      <c r="AE13" s="269">
        <v>110.84</v>
      </c>
      <c r="AF13" s="282">
        <f t="shared" si="2"/>
        <v>133.008</v>
      </c>
    </row>
    <row r="14" spans="1:32" s="265" customFormat="1" ht="56.25" customHeight="1">
      <c r="A14" s="315">
        <v>9</v>
      </c>
      <c r="B14" s="304" t="s">
        <v>354</v>
      </c>
      <c r="C14" s="270"/>
      <c r="D14" s="436"/>
      <c r="E14" s="283"/>
      <c r="F14" s="284"/>
      <c r="G14" s="285"/>
      <c r="H14" s="269"/>
      <c r="I14" s="269"/>
      <c r="J14" s="284"/>
      <c r="K14" s="271"/>
      <c r="L14" s="269"/>
      <c r="M14" s="269"/>
      <c r="N14" s="269"/>
      <c r="O14" s="284"/>
      <c r="P14" s="270"/>
      <c r="Q14" s="270"/>
      <c r="R14" s="270">
        <v>0</v>
      </c>
      <c r="S14" s="270"/>
      <c r="T14" s="269"/>
      <c r="U14" s="270"/>
      <c r="V14" s="270"/>
      <c r="W14" s="270"/>
      <c r="X14" s="269"/>
      <c r="Y14" s="281"/>
      <c r="Z14" s="281"/>
      <c r="AA14" s="284"/>
      <c r="AB14" s="285"/>
      <c r="AC14" s="284"/>
      <c r="AD14" s="285"/>
      <c r="AE14" s="284"/>
      <c r="AF14" s="286"/>
    </row>
    <row r="15" spans="1:32" ht="56.25" customHeight="1">
      <c r="A15" s="315">
        <v>10</v>
      </c>
      <c r="B15" s="305" t="s">
        <v>356</v>
      </c>
      <c r="C15" s="270">
        <f>'свод по оборудованию'!C12</f>
        <v>4</v>
      </c>
      <c r="D15" s="435" t="s">
        <v>587</v>
      </c>
      <c r="E15" s="148">
        <f>'исх.данные'!I121+'исх.данные'!L121</f>
        <v>44973</v>
      </c>
      <c r="F15" s="269" t="e">
        <f>'сравнение затрат до и после Зах'!N122</f>
        <v>#REF!</v>
      </c>
      <c r="G15" s="271" t="e">
        <f>'сравнение затрат до и после Зах'!K122</f>
        <v>#REF!</v>
      </c>
      <c r="H15" s="269" t="e">
        <f t="shared" si="3"/>
        <v>#REF!</v>
      </c>
      <c r="I15" s="269">
        <f>'таб 5 - отсюда только ее брать'!AC17</f>
        <v>19990</v>
      </c>
      <c r="J15" s="269">
        <f>'сравнение затрат до и после Зах'!Y122</f>
        <v>0</v>
      </c>
      <c r="K15" s="271" t="e">
        <f t="shared" si="4"/>
        <v>#REF!</v>
      </c>
      <c r="L15" s="269" t="e">
        <f t="shared" si="5"/>
        <v>#REF!</v>
      </c>
      <c r="M15" s="269" t="e">
        <f t="shared" si="6"/>
        <v>#REF!</v>
      </c>
      <c r="N15" s="269" t="e">
        <f t="shared" si="7"/>
        <v>#REF!</v>
      </c>
      <c r="O15" s="269">
        <f>'сравнение затрат до и после Зах'!D122</f>
        <v>4.33</v>
      </c>
      <c r="P15" s="270">
        <f t="shared" si="8"/>
        <v>11783.7486</v>
      </c>
      <c r="Q15" s="270">
        <f>P15*'загальн.витрати'!$C$31/100</f>
        <v>1056.2952245039999</v>
      </c>
      <c r="R15" s="270">
        <f>'Расчет затрат на содержание'!I13</f>
        <v>300</v>
      </c>
      <c r="S15" s="270">
        <f t="shared" si="9"/>
        <v>313.232153465127</v>
      </c>
      <c r="T15" s="269">
        <f>S15*0.2/12</f>
        <v>5.22053589108545</v>
      </c>
      <c r="U15" s="270" t="e">
        <f aca="true" t="shared" si="11" ref="U15:U25">G15*$J$31/100</f>
        <v>#REF!</v>
      </c>
      <c r="V15" s="270" t="e">
        <f aca="true" t="shared" si="12" ref="V15:V26">Q15+R15+U15</f>
        <v>#REF!</v>
      </c>
      <c r="W15" s="270" t="e">
        <f aca="true" t="shared" si="13" ref="W15:W25">V15/O15</f>
        <v>#REF!</v>
      </c>
      <c r="X15" s="269" t="e">
        <f>W15*0.2/12</f>
        <v>#REF!</v>
      </c>
      <c r="Y15" s="281"/>
      <c r="Z15" s="281"/>
      <c r="AA15" s="269">
        <v>2.48</v>
      </c>
      <c r="AB15" s="271">
        <f aca="true" t="shared" si="14" ref="AB15:AB25">AA15*1.2</f>
        <v>2.976</v>
      </c>
      <c r="AC15" s="269">
        <v>98.7</v>
      </c>
      <c r="AD15" s="271">
        <f aca="true" t="shared" si="15" ref="AD15:AD25">AC15*1.2</f>
        <v>118.44</v>
      </c>
      <c r="AE15" s="269">
        <v>131.78</v>
      </c>
      <c r="AF15" s="282">
        <v>158.11</v>
      </c>
    </row>
    <row r="16" spans="1:32" ht="56.25" customHeight="1">
      <c r="A16" s="315">
        <v>11</v>
      </c>
      <c r="B16" s="305" t="s">
        <v>759</v>
      </c>
      <c r="C16" s="270">
        <f>'свод по оборудованию'!C13</f>
        <v>4</v>
      </c>
      <c r="D16" s="437" t="s">
        <v>595</v>
      </c>
      <c r="E16" s="148">
        <f>'исх.данные'!I123+'исх.данные'!I124+'исх.данные'!I125+'исх.данные'!I126+'исх.данные'!I127+'исх.данные'!I128+'исх.данные'!I129+'исх.данные'!L123+'исх.данные'!L124+'исх.данные'!L125+'исх.данные'!L126+'исх.данные'!L127+'исх.данные'!L129+'исх.данные'!L128</f>
        <v>8846</v>
      </c>
      <c r="F16" s="269" t="e">
        <f>'сравнение затрат до и после Зах'!N131</f>
        <v>#REF!</v>
      </c>
      <c r="G16" s="271" t="e">
        <f>'сравнение затрат до и после Зах'!K131</f>
        <v>#REF!</v>
      </c>
      <c r="H16" s="269" t="e">
        <f t="shared" si="3"/>
        <v>#REF!</v>
      </c>
      <c r="I16" s="269">
        <f>'таб 5 - отсюда только ее брать'!AC18</f>
        <v>703</v>
      </c>
      <c r="J16" s="269">
        <f>'сравнение затрат до и после Зах'!Y131</f>
        <v>0</v>
      </c>
      <c r="K16" s="271" t="e">
        <f t="shared" si="4"/>
        <v>#REF!</v>
      </c>
      <c r="L16" s="269" t="e">
        <f t="shared" si="5"/>
        <v>#REF!</v>
      </c>
      <c r="M16" s="269" t="e">
        <f t="shared" si="6"/>
        <v>#REF!</v>
      </c>
      <c r="N16" s="269" t="e">
        <f t="shared" si="7"/>
        <v>#REF!</v>
      </c>
      <c r="O16" s="269">
        <f>'сравнение затрат до и после Зах'!D131</f>
        <v>0.376</v>
      </c>
      <c r="P16" s="270">
        <f t="shared" si="8"/>
        <v>1023.2539199999999</v>
      </c>
      <c r="Q16" s="270">
        <f>P16*'загальн.витрати'!$C$31/100</f>
        <v>91.72448138879997</v>
      </c>
      <c r="R16" s="270">
        <f>'Расчет затрат на содержание'!I14</f>
        <v>350</v>
      </c>
      <c r="S16" s="270">
        <f>(R16+Q16)/O16</f>
        <v>1174.7991526297872</v>
      </c>
      <c r="T16" s="269">
        <f aca="true" t="shared" si="16" ref="T16:T25">S16*0.15/12</f>
        <v>14.684989407872338</v>
      </c>
      <c r="U16" s="270" t="e">
        <f t="shared" si="11"/>
        <v>#REF!</v>
      </c>
      <c r="V16" s="270" t="e">
        <f t="shared" si="12"/>
        <v>#REF!</v>
      </c>
      <c r="W16" s="270" t="e">
        <f t="shared" si="13"/>
        <v>#REF!</v>
      </c>
      <c r="X16" s="269" t="e">
        <f aca="true" t="shared" si="17" ref="X16:X25">W16*0.15/12</f>
        <v>#REF!</v>
      </c>
      <c r="Y16" s="281">
        <f>211*1.2</f>
        <v>253.2</v>
      </c>
      <c r="Z16" s="281">
        <f>Y16*0.15/12</f>
        <v>3.1649999999999996</v>
      </c>
      <c r="AA16" s="269">
        <v>1.62</v>
      </c>
      <c r="AB16" s="271">
        <f t="shared" si="14"/>
        <v>1.944</v>
      </c>
      <c r="AC16" s="269">
        <v>58.08</v>
      </c>
      <c r="AD16" s="271">
        <f t="shared" si="15"/>
        <v>69.696</v>
      </c>
      <c r="AE16" s="269">
        <v>136.24</v>
      </c>
      <c r="AF16" s="282">
        <v>163.49</v>
      </c>
    </row>
    <row r="17" spans="1:32" ht="56.25" customHeight="1">
      <c r="A17" s="315">
        <v>12</v>
      </c>
      <c r="B17" s="305" t="s">
        <v>761</v>
      </c>
      <c r="C17" s="270">
        <f>'свод по оборудованию'!C14</f>
        <v>3</v>
      </c>
      <c r="D17" s="437" t="s">
        <v>596</v>
      </c>
      <c r="E17" s="148">
        <f>'исх.данные'!I138+'исх.данные'!L138</f>
        <v>8462</v>
      </c>
      <c r="F17" s="269" t="e">
        <f>'сравнение затрат до и после Зах'!N139</f>
        <v>#REF!</v>
      </c>
      <c r="G17" s="271" t="e">
        <f>'сравнение затрат до и после Зах'!K139</f>
        <v>#REF!</v>
      </c>
      <c r="H17" s="269" t="e">
        <f t="shared" si="3"/>
        <v>#REF!</v>
      </c>
      <c r="I17" s="269">
        <f>'таб 5 - отсюда только ее брать'!AC19</f>
        <v>1636</v>
      </c>
      <c r="J17" s="269">
        <f>'сравнение затрат до и после Зах'!Y151</f>
        <v>0</v>
      </c>
      <c r="K17" s="271" t="e">
        <f t="shared" si="4"/>
        <v>#REF!</v>
      </c>
      <c r="L17" s="269" t="e">
        <f t="shared" si="5"/>
        <v>#REF!</v>
      </c>
      <c r="M17" s="269" t="e">
        <f t="shared" si="6"/>
        <v>#REF!</v>
      </c>
      <c r="N17" s="269" t="e">
        <f t="shared" si="7"/>
        <v>#REF!</v>
      </c>
      <c r="O17" s="269">
        <f>'сравнение затрат до и после Зах'!D139</f>
        <v>0.44000000000000006</v>
      </c>
      <c r="P17" s="270">
        <f t="shared" si="8"/>
        <v>1197.4248</v>
      </c>
      <c r="Q17" s="270">
        <f>P17*'загальн.витрати'!$C$31/100</f>
        <v>107.33715907199998</v>
      </c>
      <c r="R17" s="270">
        <f>'Расчет затрат на содержание'!I15</f>
        <v>300</v>
      </c>
      <c r="S17" s="270">
        <f t="shared" si="9"/>
        <v>925.7662706181816</v>
      </c>
      <c r="T17" s="269">
        <f t="shared" si="16"/>
        <v>11.57207838272727</v>
      </c>
      <c r="U17" s="270" t="e">
        <f t="shared" si="11"/>
        <v>#REF!</v>
      </c>
      <c r="V17" s="270" t="e">
        <f t="shared" si="12"/>
        <v>#REF!</v>
      </c>
      <c r="W17" s="270" t="e">
        <f t="shared" si="13"/>
        <v>#REF!</v>
      </c>
      <c r="X17" s="269" t="e">
        <f t="shared" si="17"/>
        <v>#REF!</v>
      </c>
      <c r="Y17" s="281">
        <f>211*1.2</f>
        <v>253.2</v>
      </c>
      <c r="Z17" s="281">
        <f>Y17*0.15/12</f>
        <v>3.1649999999999996</v>
      </c>
      <c r="AA17" s="269">
        <v>1.62</v>
      </c>
      <c r="AB17" s="271">
        <f t="shared" si="14"/>
        <v>1.944</v>
      </c>
      <c r="AC17" s="269">
        <v>58.08</v>
      </c>
      <c r="AD17" s="271">
        <f t="shared" si="15"/>
        <v>69.696</v>
      </c>
      <c r="AE17" s="269">
        <v>136.24</v>
      </c>
      <c r="AF17" s="282">
        <v>163.49</v>
      </c>
    </row>
    <row r="18" spans="1:32" ht="56.25" customHeight="1">
      <c r="A18" s="315">
        <v>13</v>
      </c>
      <c r="B18" s="305" t="s">
        <v>768</v>
      </c>
      <c r="C18" s="270">
        <f>'свод по оборудованию'!C15</f>
        <v>2</v>
      </c>
      <c r="D18" s="437" t="s">
        <v>588</v>
      </c>
      <c r="E18" s="148">
        <f>'исх.данные'!I150+'исх.данные'!L150</f>
        <v>9886</v>
      </c>
      <c r="F18" s="269" t="e">
        <f>'сравнение затрат до и после Зах'!N151</f>
        <v>#REF!</v>
      </c>
      <c r="G18" s="271" t="e">
        <f>'сравнение затрат до и после Зах'!K151</f>
        <v>#REF!</v>
      </c>
      <c r="H18" s="269" t="e">
        <f t="shared" si="3"/>
        <v>#REF!</v>
      </c>
      <c r="I18" s="269">
        <f>'таб 5 - отсюда только ее брать'!AC20</f>
        <v>812</v>
      </c>
      <c r="J18" s="269">
        <f>'сравнение затрат до и после Зах'!Y151</f>
        <v>0</v>
      </c>
      <c r="K18" s="271" t="e">
        <f t="shared" si="4"/>
        <v>#REF!</v>
      </c>
      <c r="L18" s="269" t="e">
        <f t="shared" si="5"/>
        <v>#REF!</v>
      </c>
      <c r="M18" s="269" t="e">
        <f t="shared" si="6"/>
        <v>#REF!</v>
      </c>
      <c r="N18" s="269" t="e">
        <f t="shared" si="7"/>
        <v>#REF!</v>
      </c>
      <c r="O18" s="269">
        <f>'сравнение затрат до и после Зах'!D151</f>
        <v>0.24000000000000002</v>
      </c>
      <c r="P18" s="270">
        <f t="shared" si="8"/>
        <v>653.1408000000001</v>
      </c>
      <c r="Q18" s="270">
        <f>P18*'загальн.витрати'!$C$31/100</f>
        <v>58.547541312</v>
      </c>
      <c r="R18" s="270">
        <f>'Расчет затрат на содержание'!I16</f>
        <v>500</v>
      </c>
      <c r="S18" s="270">
        <f t="shared" si="9"/>
        <v>2327.2814221333333</v>
      </c>
      <c r="T18" s="269">
        <f t="shared" si="16"/>
        <v>29.091017776666664</v>
      </c>
      <c r="U18" s="270" t="e">
        <f t="shared" si="11"/>
        <v>#REF!</v>
      </c>
      <c r="V18" s="270" t="e">
        <f t="shared" si="12"/>
        <v>#REF!</v>
      </c>
      <c r="W18" s="270" t="e">
        <f t="shared" si="13"/>
        <v>#REF!</v>
      </c>
      <c r="X18" s="269" t="e">
        <f t="shared" si="17"/>
        <v>#REF!</v>
      </c>
      <c r="Y18" s="281">
        <f>211*1.2</f>
        <v>253.2</v>
      </c>
      <c r="Z18" s="281">
        <f>Y18*0.15/12</f>
        <v>3.1649999999999996</v>
      </c>
      <c r="AA18" s="269">
        <v>1.62</v>
      </c>
      <c r="AB18" s="271">
        <f t="shared" si="14"/>
        <v>1.944</v>
      </c>
      <c r="AC18" s="269">
        <v>58.08</v>
      </c>
      <c r="AD18" s="271">
        <f t="shared" si="15"/>
        <v>69.696</v>
      </c>
      <c r="AE18" s="269">
        <v>136.24</v>
      </c>
      <c r="AF18" s="282">
        <v>163.49</v>
      </c>
    </row>
    <row r="19" spans="1:32" ht="56.25" customHeight="1">
      <c r="A19" s="315">
        <v>14</v>
      </c>
      <c r="B19" s="305" t="s">
        <v>355</v>
      </c>
      <c r="C19" s="270">
        <f>'свод по оборудованию'!C16</f>
        <v>6</v>
      </c>
      <c r="D19" s="437" t="s">
        <v>589</v>
      </c>
      <c r="E19" s="148">
        <f>'исх.данные'!I160+'исх.данные'!L160</f>
        <v>131986</v>
      </c>
      <c r="F19" s="269" t="e">
        <f>'сравнение затрат до и после Зах'!N161</f>
        <v>#REF!</v>
      </c>
      <c r="G19" s="271" t="e">
        <f>'сравнение затрат до и после Зах'!K161</f>
        <v>#REF!</v>
      </c>
      <c r="H19" s="269" t="e">
        <f t="shared" si="3"/>
        <v>#REF!</v>
      </c>
      <c r="I19" s="269">
        <f>'таб 5 - отсюда только ее брать'!AC21</f>
        <v>22239</v>
      </c>
      <c r="J19" s="269">
        <f>'сравнение затрат до и после Зах'!Y161</f>
        <v>28</v>
      </c>
      <c r="K19" s="271" t="e">
        <f t="shared" si="4"/>
        <v>#REF!</v>
      </c>
      <c r="L19" s="269" t="e">
        <f t="shared" si="5"/>
        <v>#REF!</v>
      </c>
      <c r="M19" s="269" t="e">
        <f t="shared" si="6"/>
        <v>#REF!</v>
      </c>
      <c r="N19" s="269" t="e">
        <f t="shared" si="7"/>
        <v>#REF!</v>
      </c>
      <c r="O19" s="269">
        <f>'сравнение затрат до и после Зах'!D161</f>
        <v>3.252</v>
      </c>
      <c r="P19" s="270">
        <f t="shared" si="8"/>
        <v>8850.05784</v>
      </c>
      <c r="Q19" s="270">
        <f>P19*'загальн.витрати'!$C$31/100</f>
        <v>793.3191847775998</v>
      </c>
      <c r="R19" s="270">
        <f>'Расчет затрат на содержание'!I17</f>
        <v>400</v>
      </c>
      <c r="S19" s="270">
        <f t="shared" si="9"/>
        <v>366.9493188123001</v>
      </c>
      <c r="T19" s="269">
        <f t="shared" si="16"/>
        <v>4.586866485153751</v>
      </c>
      <c r="U19" s="270" t="e">
        <f t="shared" si="11"/>
        <v>#REF!</v>
      </c>
      <c r="V19" s="270" t="e">
        <f t="shared" si="12"/>
        <v>#REF!</v>
      </c>
      <c r="W19" s="270" t="e">
        <f t="shared" si="13"/>
        <v>#REF!</v>
      </c>
      <c r="X19" s="269" t="e">
        <f t="shared" si="17"/>
        <v>#REF!</v>
      </c>
      <c r="Y19" s="281"/>
      <c r="Z19" s="281"/>
      <c r="AA19" s="269">
        <v>2.48</v>
      </c>
      <c r="AB19" s="271">
        <f t="shared" si="14"/>
        <v>2.976</v>
      </c>
      <c r="AC19" s="269">
        <v>98.7</v>
      </c>
      <c r="AD19" s="271">
        <f t="shared" si="15"/>
        <v>118.44</v>
      </c>
      <c r="AE19" s="269">
        <v>191.51</v>
      </c>
      <c r="AF19" s="282">
        <v>229.81</v>
      </c>
    </row>
    <row r="20" spans="1:32" ht="51.75" customHeight="1">
      <c r="A20" s="315">
        <v>15</v>
      </c>
      <c r="B20" s="305" t="s">
        <v>361</v>
      </c>
      <c r="C20" s="270">
        <f>'свод по оборудованию'!C17</f>
        <v>1</v>
      </c>
      <c r="D20" s="437" t="s">
        <v>590</v>
      </c>
      <c r="E20" s="148">
        <f>'исх.данные'!I165+'исх.данные'!L165</f>
        <v>6918</v>
      </c>
      <c r="F20" s="269" t="e">
        <f>'сравнение затрат до и после Зах'!N166</f>
        <v>#REF!</v>
      </c>
      <c r="G20" s="271" t="e">
        <f>'сравнение затрат до и после Зах'!K166</f>
        <v>#REF!</v>
      </c>
      <c r="H20" s="269" t="e">
        <f t="shared" si="3"/>
        <v>#REF!</v>
      </c>
      <c r="I20" s="269">
        <f>'таб 5 - отсюда только ее брать'!AC22</f>
        <v>19900</v>
      </c>
      <c r="J20" s="269">
        <f>'сравнение затрат до и после Зах'!Y166</f>
        <v>0</v>
      </c>
      <c r="K20" s="271" t="e">
        <f t="shared" si="4"/>
        <v>#REF!</v>
      </c>
      <c r="L20" s="269" t="e">
        <f t="shared" si="5"/>
        <v>#REF!</v>
      </c>
      <c r="M20" s="269" t="e">
        <f t="shared" si="6"/>
        <v>#REF!</v>
      </c>
      <c r="N20" s="269" t="e">
        <f t="shared" si="7"/>
        <v>#REF!</v>
      </c>
      <c r="O20" s="269">
        <f>'сравнение затрат до и после Зах'!D166</f>
        <v>1</v>
      </c>
      <c r="P20" s="270">
        <f t="shared" si="8"/>
        <v>2721.4199999999996</v>
      </c>
      <c r="Q20" s="270">
        <f>P20*'загальн.витрати'!$C$31/100</f>
        <v>243.94808879999994</v>
      </c>
      <c r="R20" s="270">
        <f>'Расчет затрат на содержание'!I18</f>
        <v>100</v>
      </c>
      <c r="S20" s="270">
        <f t="shared" si="9"/>
        <v>343.94808879999994</v>
      </c>
      <c r="T20" s="269">
        <f t="shared" si="16"/>
        <v>4.299351109999999</v>
      </c>
      <c r="U20" s="270" t="e">
        <f t="shared" si="11"/>
        <v>#REF!</v>
      </c>
      <c r="V20" s="270" t="e">
        <f t="shared" si="12"/>
        <v>#REF!</v>
      </c>
      <c r="W20" s="270" t="e">
        <f t="shared" si="13"/>
        <v>#REF!</v>
      </c>
      <c r="X20" s="269" t="e">
        <f t="shared" si="17"/>
        <v>#REF!</v>
      </c>
      <c r="Y20" s="281"/>
      <c r="Z20" s="281"/>
      <c r="AA20" s="269">
        <v>4.1</v>
      </c>
      <c r="AB20" s="271">
        <f t="shared" si="14"/>
        <v>4.919999999999999</v>
      </c>
      <c r="AC20" s="269">
        <v>164.09</v>
      </c>
      <c r="AD20" s="271">
        <f t="shared" si="15"/>
        <v>196.908</v>
      </c>
      <c r="AE20" s="269">
        <v>187.53</v>
      </c>
      <c r="AF20" s="282">
        <f aca="true" t="shared" si="18" ref="AF20:AF25">AE20*1.2</f>
        <v>225.036</v>
      </c>
    </row>
    <row r="21" spans="1:32" ht="51" customHeight="1">
      <c r="A21" s="315">
        <v>16</v>
      </c>
      <c r="B21" s="305" t="s">
        <v>350</v>
      </c>
      <c r="C21" s="270">
        <f>'свод по оборудованию'!C18</f>
        <v>13</v>
      </c>
      <c r="D21" s="437" t="s">
        <v>592</v>
      </c>
      <c r="E21" s="148">
        <f>'исх.данные'!I242+'исх.данные'!L242</f>
        <v>608552</v>
      </c>
      <c r="F21" s="269" t="e">
        <f>'сравнение затрат до и после Зах'!N243</f>
        <v>#REF!</v>
      </c>
      <c r="G21" s="271" t="e">
        <f>'сравнение затрат до и после Зах'!K243</f>
        <v>#REF!</v>
      </c>
      <c r="H21" s="269" t="e">
        <f t="shared" si="3"/>
        <v>#REF!</v>
      </c>
      <c r="I21" s="269">
        <f>'таб 5 - отсюда только ее брать'!AC23</f>
        <v>84274</v>
      </c>
      <c r="J21" s="269">
        <f>'сравнение затрат до и после Зах'!Y243</f>
        <v>0</v>
      </c>
      <c r="K21" s="271" t="e">
        <f t="shared" si="4"/>
        <v>#REF!</v>
      </c>
      <c r="L21" s="269" t="e">
        <f t="shared" si="5"/>
        <v>#REF!</v>
      </c>
      <c r="M21" s="269" t="e">
        <f t="shared" si="6"/>
        <v>#REF!</v>
      </c>
      <c r="N21" s="269" t="e">
        <f t="shared" si="7"/>
        <v>#REF!</v>
      </c>
      <c r="O21" s="269">
        <f>'исх.данные'!D242</f>
        <v>74.37000000000003</v>
      </c>
      <c r="P21" s="270">
        <f t="shared" si="8"/>
        <v>202392.0054000001</v>
      </c>
      <c r="Q21" s="270">
        <f>P21*'загальн.витрати'!$C$31/100</f>
        <v>18142.419364056008</v>
      </c>
      <c r="R21" s="270">
        <f>'Расчет затрат на содержание'!I19</f>
        <v>2901</v>
      </c>
      <c r="S21" s="270">
        <f t="shared" si="9"/>
        <v>282.9557531807987</v>
      </c>
      <c r="T21" s="269">
        <f t="shared" si="16"/>
        <v>3.5369469147599837</v>
      </c>
      <c r="U21" s="270" t="e">
        <f t="shared" si="11"/>
        <v>#REF!</v>
      </c>
      <c r="V21" s="270" t="e">
        <f t="shared" si="12"/>
        <v>#REF!</v>
      </c>
      <c r="W21" s="270" t="e">
        <f t="shared" si="13"/>
        <v>#REF!</v>
      </c>
      <c r="X21" s="269" t="e">
        <f t="shared" si="17"/>
        <v>#REF!</v>
      </c>
      <c r="Y21" s="281"/>
      <c r="Z21" s="281"/>
      <c r="AA21" s="269">
        <v>1.25</v>
      </c>
      <c r="AB21" s="269">
        <f t="shared" si="14"/>
        <v>1.5</v>
      </c>
      <c r="AC21" s="269">
        <v>74.56</v>
      </c>
      <c r="AD21" s="269">
        <f t="shared" si="15"/>
        <v>89.472</v>
      </c>
      <c r="AE21" s="269">
        <v>172.42</v>
      </c>
      <c r="AF21" s="282">
        <f t="shared" si="18"/>
        <v>206.90399999999997</v>
      </c>
    </row>
    <row r="22" spans="1:32" ht="51" customHeight="1">
      <c r="A22" s="315">
        <v>17</v>
      </c>
      <c r="B22" s="305" t="s">
        <v>793</v>
      </c>
      <c r="C22" s="270">
        <f>'свод по оборудованию'!C19</f>
        <v>3</v>
      </c>
      <c r="D22" s="437" t="s">
        <v>591</v>
      </c>
      <c r="E22" s="148">
        <f>'исх.данные'!I182+'исх.данные'!L182</f>
        <v>118044.6</v>
      </c>
      <c r="F22" s="269" t="e">
        <f>'сравнение затрат до и после Зах'!N183</f>
        <v>#REF!</v>
      </c>
      <c r="G22" s="271" t="e">
        <f>'сравнение затрат до и после Зах'!K183</f>
        <v>#REF!</v>
      </c>
      <c r="H22" s="269" t="e">
        <f t="shared" si="3"/>
        <v>#REF!</v>
      </c>
      <c r="I22" s="269">
        <f>'таб 5 - отсюда только ее брать'!AC24</f>
        <v>9227</v>
      </c>
      <c r="J22" s="269">
        <f>'сравнение затрат до и после Зах'!Y183</f>
        <v>570</v>
      </c>
      <c r="K22" s="271" t="e">
        <f t="shared" si="4"/>
        <v>#REF!</v>
      </c>
      <c r="L22" s="269" t="e">
        <f t="shared" si="5"/>
        <v>#REF!</v>
      </c>
      <c r="M22" s="269" t="e">
        <f t="shared" si="6"/>
        <v>#REF!</v>
      </c>
      <c r="N22" s="269" t="e">
        <f t="shared" si="7"/>
        <v>#REF!</v>
      </c>
      <c r="O22" s="269">
        <f>'исх.данные'!D182</f>
        <v>21.49988718491098</v>
      </c>
      <c r="P22" s="270">
        <f t="shared" si="8"/>
        <v>58510.22298276043</v>
      </c>
      <c r="Q22" s="270">
        <f>P22*'загальн.витрати'!$C$31/100</f>
        <v>5244.856388174645</v>
      </c>
      <c r="R22" s="270">
        <f>'Расчет затрат на содержание'!I20</f>
        <v>700</v>
      </c>
      <c r="S22" s="270">
        <f t="shared" si="9"/>
        <v>276.5063991752876</v>
      </c>
      <c r="T22" s="269">
        <f t="shared" si="16"/>
        <v>3.456329989691095</v>
      </c>
      <c r="U22" s="270" t="e">
        <f t="shared" si="11"/>
        <v>#REF!</v>
      </c>
      <c r="V22" s="270" t="e">
        <f t="shared" si="12"/>
        <v>#REF!</v>
      </c>
      <c r="W22" s="270" t="e">
        <f t="shared" si="13"/>
        <v>#REF!</v>
      </c>
      <c r="X22" s="269" t="e">
        <f t="shared" si="17"/>
        <v>#REF!</v>
      </c>
      <c r="Y22" s="281">
        <f>315*1.2</f>
        <v>378</v>
      </c>
      <c r="Z22" s="281">
        <f>Y22*0.15/12</f>
        <v>4.725</v>
      </c>
      <c r="AA22" s="269">
        <v>1.25</v>
      </c>
      <c r="AB22" s="271">
        <f t="shared" si="14"/>
        <v>1.5</v>
      </c>
      <c r="AC22" s="269">
        <v>74.56</v>
      </c>
      <c r="AD22" s="271">
        <f t="shared" si="15"/>
        <v>89.472</v>
      </c>
      <c r="AE22" s="269">
        <v>172.42</v>
      </c>
      <c r="AF22" s="282">
        <f t="shared" si="18"/>
        <v>206.90399999999997</v>
      </c>
    </row>
    <row r="23" spans="1:32" ht="51" customHeight="1">
      <c r="A23" s="315">
        <v>18</v>
      </c>
      <c r="B23" s="305" t="s">
        <v>351</v>
      </c>
      <c r="C23" s="270">
        <f>'свод по оборудованию'!C20</f>
        <v>7</v>
      </c>
      <c r="D23" s="437" t="s">
        <v>593</v>
      </c>
      <c r="E23" s="148">
        <f>'исх.данные'!I254+'исх.данные'!L254</f>
        <v>279704</v>
      </c>
      <c r="F23" s="269" t="e">
        <f>'сравнение затрат до и после Зах'!N255</f>
        <v>#REF!</v>
      </c>
      <c r="G23" s="271" t="e">
        <f>'сравнение затрат до и после Зах'!K255</f>
        <v>#REF!</v>
      </c>
      <c r="H23" s="269" t="e">
        <f t="shared" si="3"/>
        <v>#REF!</v>
      </c>
      <c r="I23" s="269">
        <f>'таб 5 - отсюда только ее брать'!AC25</f>
        <v>42178</v>
      </c>
      <c r="J23" s="269">
        <f>'сравнение затрат до и после Зах'!Y255</f>
        <v>0</v>
      </c>
      <c r="K23" s="271" t="e">
        <f t="shared" si="4"/>
        <v>#REF!</v>
      </c>
      <c r="L23" s="269" t="e">
        <f t="shared" si="5"/>
        <v>#REF!</v>
      </c>
      <c r="M23" s="269" t="e">
        <f t="shared" si="6"/>
        <v>#REF!</v>
      </c>
      <c r="N23" s="269" t="e">
        <f t="shared" si="7"/>
        <v>#REF!</v>
      </c>
      <c r="O23" s="269">
        <f>'исх.данные'!D254</f>
        <v>33.64</v>
      </c>
      <c r="P23" s="270">
        <f t="shared" si="8"/>
        <v>91548.5688</v>
      </c>
      <c r="Q23" s="270">
        <f>P23*'загальн.витрати'!$C$31/100</f>
        <v>8206.413707231997</v>
      </c>
      <c r="R23" s="270">
        <f>'Расчет затрат на содержание'!I21</f>
        <v>500</v>
      </c>
      <c r="S23" s="270">
        <f t="shared" si="9"/>
        <v>258.81134682615925</v>
      </c>
      <c r="T23" s="269">
        <f t="shared" si="16"/>
        <v>3.2351418353269903</v>
      </c>
      <c r="U23" s="270" t="e">
        <f t="shared" si="11"/>
        <v>#REF!</v>
      </c>
      <c r="V23" s="270" t="e">
        <f t="shared" si="12"/>
        <v>#REF!</v>
      </c>
      <c r="W23" s="270" t="e">
        <f t="shared" si="13"/>
        <v>#REF!</v>
      </c>
      <c r="X23" s="269" t="e">
        <f t="shared" si="17"/>
        <v>#REF!</v>
      </c>
      <c r="Y23" s="281">
        <f>292*1.2</f>
        <v>350.4</v>
      </c>
      <c r="Z23" s="281">
        <f>Y23*0.15/12</f>
        <v>4.38</v>
      </c>
      <c r="AA23" s="269">
        <v>1.25</v>
      </c>
      <c r="AB23" s="271">
        <f t="shared" si="14"/>
        <v>1.5</v>
      </c>
      <c r="AC23" s="269">
        <v>74.56</v>
      </c>
      <c r="AD23" s="271">
        <f t="shared" si="15"/>
        <v>89.472</v>
      </c>
      <c r="AE23" s="269">
        <v>172.42</v>
      </c>
      <c r="AF23" s="282">
        <f t="shared" si="18"/>
        <v>206.90399999999997</v>
      </c>
    </row>
    <row r="24" spans="1:32" ht="51" customHeight="1">
      <c r="A24" s="315">
        <v>19</v>
      </c>
      <c r="B24" s="305" t="s">
        <v>352</v>
      </c>
      <c r="C24" s="270">
        <f>'свод по оборудованию'!C21</f>
        <v>5</v>
      </c>
      <c r="D24" s="437" t="s">
        <v>597</v>
      </c>
      <c r="E24" s="148">
        <f>'исх.данные'!I256+'исх.данные'!I257+'исх.данные'!I258+'исх.данные'!I259+'исх.данные'!I260+'исх.данные'!I261+'исх.данные'!I262+'исх.данные'!I263+'исх.данные'!I264+'исх.данные'!I265+'исх.данные'!I266+'исх.данные'!I267+'исх.данные'!I268+'исх.данные'!I269+'исх.данные'!I270+'исх.данные'!I271+'исх.данные'!I272+'исх.данные'!L272+'исх.данные'!L271+'исх.данные'!L270+'исх.данные'!L269+'исх.данные'!L268+'исх.данные'!L267+'исх.данные'!L266+'исх.данные'!L265+'исх.данные'!L264+'исх.данные'!L263+'исх.данные'!L262+'исх.данные'!L261+'исх.данные'!L260+'исх.данные'!L259+'исх.данные'!L258+'исх.данные'!L257+'исх.данные'!L256</f>
        <v>258130</v>
      </c>
      <c r="F24" s="269" t="e">
        <f>SUM('сравнение затрат до и после Зах'!N257:N273)</f>
        <v>#REF!</v>
      </c>
      <c r="G24" s="271" t="e">
        <f>SUM('сравнение затрат до и после Зах'!K257:K273)</f>
        <v>#REF!</v>
      </c>
      <c r="H24" s="269" t="e">
        <f t="shared" si="3"/>
        <v>#REF!</v>
      </c>
      <c r="I24" s="269">
        <f>'таб 5 - отсюда только ее брать'!AC26</f>
        <v>14304.5</v>
      </c>
      <c r="J24" s="269">
        <f>'сравнение затрат до и после Зах'!Y274</f>
        <v>0</v>
      </c>
      <c r="K24" s="271" t="e">
        <f t="shared" si="4"/>
        <v>#REF!</v>
      </c>
      <c r="L24" s="269" t="e">
        <f t="shared" si="5"/>
        <v>#REF!</v>
      </c>
      <c r="M24" s="269" t="e">
        <f t="shared" si="6"/>
        <v>#REF!</v>
      </c>
      <c r="N24" s="269" t="e">
        <f t="shared" si="7"/>
        <v>#REF!</v>
      </c>
      <c r="O24" s="269">
        <f>'исх.данные'!D273</f>
        <v>26.64</v>
      </c>
      <c r="P24" s="270">
        <f t="shared" si="8"/>
        <v>72498.6288</v>
      </c>
      <c r="Q24" s="270">
        <f>P24*'загальн.витрати'!$C$31/100</f>
        <v>6498.777085631999</v>
      </c>
      <c r="R24" s="270">
        <f>'Расчет затрат на содержание'!I22</f>
        <v>800</v>
      </c>
      <c r="S24" s="270">
        <f t="shared" si="9"/>
        <v>273.97811883003</v>
      </c>
      <c r="T24" s="269">
        <f t="shared" si="16"/>
        <v>3.4247264853753747</v>
      </c>
      <c r="U24" s="270" t="e">
        <f t="shared" si="11"/>
        <v>#REF!</v>
      </c>
      <c r="V24" s="270" t="e">
        <f t="shared" si="12"/>
        <v>#REF!</v>
      </c>
      <c r="W24" s="270" t="e">
        <f t="shared" si="13"/>
        <v>#REF!</v>
      </c>
      <c r="X24" s="269" t="e">
        <f t="shared" si="17"/>
        <v>#REF!</v>
      </c>
      <c r="Y24" s="281"/>
      <c r="Z24" s="281"/>
      <c r="AA24" s="269">
        <v>1.25</v>
      </c>
      <c r="AB24" s="271">
        <f t="shared" si="14"/>
        <v>1.5</v>
      </c>
      <c r="AC24" s="269">
        <v>74.56</v>
      </c>
      <c r="AD24" s="271">
        <f t="shared" si="15"/>
        <v>89.472</v>
      </c>
      <c r="AE24" s="269">
        <v>172.42</v>
      </c>
      <c r="AF24" s="282">
        <f t="shared" si="18"/>
        <v>206.90399999999997</v>
      </c>
    </row>
    <row r="25" spans="1:32" ht="51" customHeight="1">
      <c r="A25" s="315">
        <v>20</v>
      </c>
      <c r="B25" s="305" t="s">
        <v>453</v>
      </c>
      <c r="C25" s="270">
        <f>'свод по оборудованию'!C22</f>
        <v>1</v>
      </c>
      <c r="D25" s="437" t="s">
        <v>598</v>
      </c>
      <c r="E25" s="148">
        <f>'исх.данные'!I275+'исх.данные'!L276+'исх.данные'!L277+'исх.данные'!L278+'исх.данные'!L279+'исх.данные'!L280+'исх.данные'!L281</f>
        <v>24699</v>
      </c>
      <c r="F25" s="269" t="e">
        <f>SUM('сравнение затрат до и после Зах'!N276:N282)</f>
        <v>#REF!</v>
      </c>
      <c r="G25" s="271" t="e">
        <f>SUM('сравнение затрат до и после Зах'!K276:K282)</f>
        <v>#REF!</v>
      </c>
      <c r="H25" s="269" t="e">
        <f t="shared" si="3"/>
        <v>#REF!</v>
      </c>
      <c r="I25" s="269">
        <f>'таб 5 - отсюда только ее брать'!AC27</f>
        <v>1705</v>
      </c>
      <c r="J25" s="269">
        <f>'сравнение затрат до и после Зах'!Y283</f>
        <v>0</v>
      </c>
      <c r="K25" s="271" t="e">
        <f t="shared" si="4"/>
        <v>#REF!</v>
      </c>
      <c r="L25" s="269" t="e">
        <f t="shared" si="5"/>
        <v>#REF!</v>
      </c>
      <c r="M25" s="269" t="e">
        <f t="shared" si="6"/>
        <v>#REF!</v>
      </c>
      <c r="N25" s="269" t="e">
        <f t="shared" si="7"/>
        <v>#REF!</v>
      </c>
      <c r="O25" s="269">
        <f>'исх.данные'!D282</f>
        <v>5.6000000000000005</v>
      </c>
      <c r="P25" s="270">
        <f t="shared" si="8"/>
        <v>15239.952000000001</v>
      </c>
      <c r="Q25" s="270">
        <f>P25*'загальн.витрати'!$C$31/100</f>
        <v>1366.10929728</v>
      </c>
      <c r="R25" s="270">
        <f>'Расчет затрат на содержание'!I23</f>
        <v>350</v>
      </c>
      <c r="S25" s="270">
        <f t="shared" si="9"/>
        <v>306.44808879999994</v>
      </c>
      <c r="T25" s="269">
        <f t="shared" si="16"/>
        <v>3.8306011099999995</v>
      </c>
      <c r="U25" s="270" t="e">
        <f t="shared" si="11"/>
        <v>#REF!</v>
      </c>
      <c r="V25" s="270" t="e">
        <f t="shared" si="12"/>
        <v>#REF!</v>
      </c>
      <c r="W25" s="270" t="e">
        <f t="shared" si="13"/>
        <v>#REF!</v>
      </c>
      <c r="X25" s="269" t="e">
        <f t="shared" si="17"/>
        <v>#REF!</v>
      </c>
      <c r="Y25" s="281">
        <f>297*1.2</f>
        <v>356.4</v>
      </c>
      <c r="Z25" s="281">
        <f>Y25*0.15/12</f>
        <v>4.454999999999999</v>
      </c>
      <c r="AA25" s="269">
        <v>1.25</v>
      </c>
      <c r="AB25" s="271">
        <f t="shared" si="14"/>
        <v>1.5</v>
      </c>
      <c r="AC25" s="269">
        <v>74.56</v>
      </c>
      <c r="AD25" s="271">
        <f t="shared" si="15"/>
        <v>89.472</v>
      </c>
      <c r="AE25" s="269">
        <v>172.42</v>
      </c>
      <c r="AF25" s="282">
        <f t="shared" si="18"/>
        <v>206.90399999999997</v>
      </c>
    </row>
    <row r="26" spans="1:32" s="163" customFormat="1" ht="127.5">
      <c r="A26" s="315">
        <v>21</v>
      </c>
      <c r="B26" s="306" t="s">
        <v>578</v>
      </c>
      <c r="C26" s="148">
        <f aca="true" t="shared" si="19" ref="C26:I26">SUM(C6:C25)</f>
        <v>109</v>
      </c>
      <c r="D26" s="438" t="s">
        <v>594</v>
      </c>
      <c r="E26" s="148">
        <f t="shared" si="19"/>
        <v>2556201.9000000004</v>
      </c>
      <c r="F26" s="443" t="e">
        <f t="shared" si="19"/>
        <v>#REF!</v>
      </c>
      <c r="G26" s="443" t="e">
        <f t="shared" si="19"/>
        <v>#REF!</v>
      </c>
      <c r="H26" s="271" t="e">
        <f t="shared" si="3"/>
        <v>#REF!</v>
      </c>
      <c r="I26" s="443">
        <f t="shared" si="19"/>
        <v>319776</v>
      </c>
      <c r="J26" s="443">
        <f>SUM(J6:J25)</f>
        <v>2651.162318412734</v>
      </c>
      <c r="K26" s="442" t="e">
        <f>G26+I26+F26+J26</f>
        <v>#REF!</v>
      </c>
      <c r="L26" s="271" t="e">
        <f t="shared" si="5"/>
        <v>#REF!</v>
      </c>
      <c r="M26" s="271" t="e">
        <f t="shared" si="6"/>
        <v>#REF!</v>
      </c>
      <c r="N26" s="271" t="e">
        <f t="shared" si="7"/>
        <v>#REF!</v>
      </c>
      <c r="O26" s="271">
        <f>SUM(O6:O25)</f>
        <v>301.79888718491105</v>
      </c>
      <c r="P26" s="148">
        <f>SUM(P6:P25)</f>
        <v>821321.5275627605</v>
      </c>
      <c r="Q26" s="148">
        <f>SUM(Q6:Q25)</f>
        <v>73623.26173072585</v>
      </c>
      <c r="R26" s="148">
        <v>14356</v>
      </c>
      <c r="S26" s="148">
        <f>(R26+Q26)/O26</f>
        <v>291.51618997462134</v>
      </c>
      <c r="T26" s="271">
        <f>S26*Z26/Y26</f>
        <v>3.771598274566228</v>
      </c>
      <c r="U26" s="148" t="e">
        <f>SUM(U6:U25)</f>
        <v>#REF!</v>
      </c>
      <c r="V26" s="148" t="e">
        <f t="shared" si="12"/>
        <v>#REF!</v>
      </c>
      <c r="W26" s="148" t="e">
        <f>V26/O26</f>
        <v>#REF!</v>
      </c>
      <c r="X26" s="271" t="e">
        <f>W26*0.2/12</f>
        <v>#REF!</v>
      </c>
      <c r="Y26" s="271">
        <f>SUM(Y6:Y25)/12</f>
        <v>355.7</v>
      </c>
      <c r="Z26" s="271">
        <f>SUM(Z6:Z25)/12</f>
        <v>4.601999999999999</v>
      </c>
      <c r="AA26" s="271"/>
      <c r="AB26" s="271">
        <f>SUM(AB6:AB25)/18</f>
        <v>2.673</v>
      </c>
      <c r="AC26" s="271"/>
      <c r="AD26" s="271"/>
      <c r="AE26" s="271"/>
      <c r="AF26" s="282"/>
    </row>
    <row r="27" spans="1:32" s="212" customFormat="1" ht="53.25" thickBot="1">
      <c r="A27" s="204">
        <v>22</v>
      </c>
      <c r="B27" s="316" t="s">
        <v>395</v>
      </c>
      <c r="C27" s="317"/>
      <c r="D27" s="317"/>
      <c r="E27" s="318"/>
      <c r="F27" s="319" t="e">
        <f>F26/K26</f>
        <v>#REF!</v>
      </c>
      <c r="G27" s="320" t="e">
        <f>G26/K26</f>
        <v>#REF!</v>
      </c>
      <c r="H27" s="321"/>
      <c r="I27" s="321" t="e">
        <f>I26/K26</f>
        <v>#REF!</v>
      </c>
      <c r="J27" s="321" t="e">
        <f>J26/K26</f>
        <v>#REF!</v>
      </c>
      <c r="K27" s="322"/>
      <c r="L27" s="323"/>
      <c r="M27" s="323"/>
      <c r="N27" s="323"/>
      <c r="O27" s="323"/>
      <c r="P27" s="317"/>
      <c r="Q27" s="317"/>
      <c r="R27" s="317"/>
      <c r="S27" s="317"/>
      <c r="T27" s="317"/>
      <c r="U27" s="317"/>
      <c r="V27" s="317"/>
      <c r="W27" s="317"/>
      <c r="X27" s="323"/>
      <c r="Y27" s="323"/>
      <c r="Z27" s="323"/>
      <c r="AA27" s="323"/>
      <c r="AB27" s="323"/>
      <c r="AC27" s="323"/>
      <c r="AD27" s="323"/>
      <c r="AE27" s="323"/>
      <c r="AF27" s="324"/>
    </row>
    <row r="28" spans="2:32" ht="26.25">
      <c r="B28" s="291"/>
      <c r="C28" s="201"/>
      <c r="D28" s="201"/>
      <c r="E28" s="211"/>
      <c r="F28" s="287"/>
      <c r="G28" s="203"/>
      <c r="H28" s="202"/>
      <c r="I28" s="202"/>
      <c r="J28" s="202"/>
      <c r="K28" s="203"/>
      <c r="L28" s="202"/>
      <c r="M28" s="202"/>
      <c r="N28" s="202"/>
      <c r="O28" s="202"/>
      <c r="P28" s="201"/>
      <c r="Q28" s="201"/>
      <c r="R28" s="201"/>
      <c r="S28" s="201"/>
      <c r="T28" s="201"/>
      <c r="U28" s="201"/>
      <c r="V28" s="201"/>
      <c r="W28" s="201"/>
      <c r="X28" s="202"/>
      <c r="Y28" s="288"/>
      <c r="Z28" s="288"/>
      <c r="AA28" s="202"/>
      <c r="AB28" s="202"/>
      <c r="AC28" s="202"/>
      <c r="AD28" s="202"/>
      <c r="AE28" s="202"/>
      <c r="AF28" s="202"/>
    </row>
    <row r="30" spans="2:20" ht="24" hidden="1" thickBot="1">
      <c r="B30" s="898" t="s">
        <v>525</v>
      </c>
      <c r="C30" s="899"/>
      <c r="D30" s="900"/>
      <c r="E30" s="900"/>
      <c r="F30" s="900"/>
      <c r="G30" s="900"/>
      <c r="H30" s="900"/>
      <c r="I30" s="899"/>
      <c r="J30" s="899"/>
      <c r="T30" s="207"/>
    </row>
    <row r="31" spans="2:21" ht="177" customHeight="1" hidden="1" thickBot="1">
      <c r="B31" s="292" t="s">
        <v>393</v>
      </c>
      <c r="C31" s="296">
        <f>7.47*1.2</f>
        <v>8.963999999999999</v>
      </c>
      <c r="D31" s="896" t="s">
        <v>841</v>
      </c>
      <c r="E31" s="897"/>
      <c r="F31" s="325">
        <v>10</v>
      </c>
      <c r="G31" s="326" t="s">
        <v>265</v>
      </c>
      <c r="H31" s="327" t="s">
        <v>140</v>
      </c>
      <c r="I31" s="297" t="s">
        <v>842</v>
      </c>
      <c r="J31" s="293">
        <v>10</v>
      </c>
      <c r="T31" s="207"/>
      <c r="U31" s="207"/>
    </row>
    <row r="32" ht="26.25">
      <c r="U32" s="208"/>
    </row>
  </sheetData>
  <mergeCells count="21">
    <mergeCell ref="D31:E31"/>
    <mergeCell ref="B30:J30"/>
    <mergeCell ref="AC3:AD3"/>
    <mergeCell ref="H3:H4"/>
    <mergeCell ref="AA3:AB3"/>
    <mergeCell ref="V3:W3"/>
    <mergeCell ref="M3:N3"/>
    <mergeCell ref="A3:A4"/>
    <mergeCell ref="I3:I4"/>
    <mergeCell ref="AE3:AF3"/>
    <mergeCell ref="K3:L3"/>
    <mergeCell ref="A2:AF2"/>
    <mergeCell ref="B3:B4"/>
    <mergeCell ref="C3:C4"/>
    <mergeCell ref="D3:D4"/>
    <mergeCell ref="E3:E4"/>
    <mergeCell ref="F3:F4"/>
    <mergeCell ref="G3:G4"/>
    <mergeCell ref="P3:Q3"/>
    <mergeCell ref="S3:T3"/>
    <mergeCell ref="J3:J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Азарова</cp:lastModifiedBy>
  <cp:lastPrinted>2006-12-05T12:52:42Z</cp:lastPrinted>
  <dcterms:created xsi:type="dcterms:W3CDTF">2006-09-12T05:52:39Z</dcterms:created>
  <dcterms:modified xsi:type="dcterms:W3CDTF">2006-12-27T13:54:00Z</dcterms:modified>
  <cp:category/>
  <cp:version/>
  <cp:contentType/>
  <cp:contentStatus/>
</cp:coreProperties>
</file>