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90" windowWidth="11280" windowHeight="5670" activeTab="6"/>
  </bookViews>
  <sheets>
    <sheet name="№1" sheetId="1" r:id="rId1"/>
    <sheet name="№2" sheetId="2" r:id="rId2"/>
    <sheet name="№3" sheetId="3" r:id="rId3"/>
    <sheet name="№4" sheetId="4" r:id="rId4"/>
    <sheet name="№7" sheetId="5" r:id="rId5"/>
    <sheet name="№8" sheetId="6" r:id="rId6"/>
    <sheet name="№10" sheetId="7" r:id="rId7"/>
  </sheets>
  <definedNames>
    <definedName name="_xlnm.Print_Titles" localSheetId="0">'№1'!$10:$12</definedName>
    <definedName name="_xlnm.Print_Area" localSheetId="0">'№1'!$A$1:$F$70</definedName>
    <definedName name="_xlnm.Print_Area" localSheetId="1">'№2'!$A$1:$K$88</definedName>
    <definedName name="_xlnm.Print_Area" localSheetId="2">'№3'!$A$1:$K$127</definedName>
    <definedName name="_xlnm.Print_Area" localSheetId="3">'№4'!$A$1:$V$57</definedName>
  </definedNames>
  <calcPr fullCalcOnLoad="1"/>
</workbook>
</file>

<file path=xl/sharedStrings.xml><?xml version="1.0" encoding="utf-8"?>
<sst xmlns="http://schemas.openxmlformats.org/spreadsheetml/2006/main" count="1019" uniqueCount="541">
  <si>
    <t>ИТОГО по образованию:</t>
  </si>
  <si>
    <t>ИТОГО:</t>
  </si>
  <si>
    <t>Приложение 8</t>
  </si>
  <si>
    <t>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дел,вдовам ветеранов воинской службі и ветеранов органов внутр.дел, а также уволенным со службы по возрасту, болезнью или выслугой лет работникам милиции, рядового и начал. состава крим.-исполн. системы, гос. пожар. охраны, погибших или умерших при испол. служ.обяз., нетрудоспособным членам семей, которые пребывали на их содержании, родителям и членам семей военносл., погибших, умерших или ставших инвал. при прох.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 п "Ї" ч.1 ст.77 Основ закон. об охране здор., ч.2 ст.29 Основ закондат. о культуре, абз.1 ч.4 ст.57 ЗУ "Об образ." и жилищных субсидий населению на оплату электроэнергии, природного  газа, услуг тепло-, водоснабжения и водоотведения, квартплаты, вывозу бытового мусора и жидких нечистот</t>
  </si>
  <si>
    <t>Приложение 2</t>
  </si>
  <si>
    <t>к решению областного совета</t>
  </si>
  <si>
    <t>по функциональной структуре</t>
  </si>
  <si>
    <t>тыс.гривен</t>
  </si>
  <si>
    <t>КФКР</t>
  </si>
  <si>
    <t>Расходы бюджета по функциональной структуре</t>
  </si>
  <si>
    <t xml:space="preserve">                Расходы общего фонда</t>
  </si>
  <si>
    <t>Расходы специального фонда</t>
  </si>
  <si>
    <t>ИТОГО</t>
  </si>
  <si>
    <t>Всего</t>
  </si>
  <si>
    <t xml:space="preserve">в том числе </t>
  </si>
  <si>
    <t>в том числе</t>
  </si>
  <si>
    <t>из него региональные программы</t>
  </si>
  <si>
    <t>оплата труда (код 1110)</t>
  </si>
  <si>
    <t>оплата коммунальных услуг и энергонос. (код 1160)</t>
  </si>
  <si>
    <t>другие расходы</t>
  </si>
  <si>
    <t>региональные прог-раммы и централизованные мероприя-тия</t>
  </si>
  <si>
    <t>бюджет развития</t>
  </si>
  <si>
    <t>010000</t>
  </si>
  <si>
    <t>Государственное управление</t>
  </si>
  <si>
    <t>010116</t>
  </si>
  <si>
    <t>Органы местного самоуправления</t>
  </si>
  <si>
    <t>060000</t>
  </si>
  <si>
    <t>Правоохранительная деятельность и обеспечение безопасности государства</t>
  </si>
  <si>
    <t>061007</t>
  </si>
  <si>
    <t>Другие правоохранительные мероприятия и учреждения</t>
  </si>
  <si>
    <t>070000</t>
  </si>
  <si>
    <t>Образование</t>
  </si>
  <si>
    <t>080000</t>
  </si>
  <si>
    <t>Здравоохранение</t>
  </si>
  <si>
    <t>090000</t>
  </si>
  <si>
    <t>Социальная защита и социальное обеспечение</t>
  </si>
  <si>
    <t>090403</t>
  </si>
  <si>
    <t xml:space="preserve">Выплаты компенсаций реабилитированным </t>
  </si>
  <si>
    <t>090412</t>
  </si>
  <si>
    <t xml:space="preserve">управление жилищно-коммунальное облгосадминистрации </t>
  </si>
  <si>
    <t>Прочие расходы на социальную защиту населения</t>
  </si>
  <si>
    <t>090413</t>
  </si>
  <si>
    <t>Помощь по уходу за инвалидом I или II группы вследствие психического расстройства</t>
  </si>
  <si>
    <t>091207</t>
  </si>
  <si>
    <t>091209</t>
  </si>
  <si>
    <t>Финансовая поддержка общественных организаций инвалидов и ветеранов</t>
  </si>
  <si>
    <t>091212</t>
  </si>
  <si>
    <t>090700</t>
  </si>
  <si>
    <t>Приюты для несовершеннолетних</t>
  </si>
  <si>
    <t>Жилищно-коммунальное хозяйство</t>
  </si>
  <si>
    <t>Кинематография</t>
  </si>
  <si>
    <t>Средства массовой информации</t>
  </si>
  <si>
    <t>Периодические издания (газеты и журналы)</t>
  </si>
  <si>
    <t>Книгоиздательство</t>
  </si>
  <si>
    <t>Физкультура и спорт</t>
  </si>
  <si>
    <t>Строительство</t>
  </si>
  <si>
    <t>Капитальные вложения</t>
  </si>
  <si>
    <t>Транспорт, дорожное хозяйство, связь, телекоммуникации и информатика</t>
  </si>
  <si>
    <t xml:space="preserve">Расходы на проведение работ, связанных со строительством, реконструкцией, ремонтом и  содержанием автомобильных дорог </t>
  </si>
  <si>
    <t>Программа стабилизации и социально-экономического развития территорий</t>
  </si>
  <si>
    <t>Поддержка малого и среднего предпринимательства</t>
  </si>
  <si>
    <t>Обслуживание долга</t>
  </si>
  <si>
    <t>Целевые фонды</t>
  </si>
  <si>
    <t>Охрана и рациональное использование природных ресурсов</t>
  </si>
  <si>
    <t xml:space="preserve"> Расходы, не отнесенные к основным  группам</t>
  </si>
  <si>
    <t>Резервный фонд</t>
  </si>
  <si>
    <t xml:space="preserve">Прочие расходы  </t>
  </si>
  <si>
    <t>И Т О Г О   Р А С Х О Д О В:</t>
  </si>
  <si>
    <t>Средства, передаваемые из общего фонда бюджета в бюджет развития (специального фонда)</t>
  </si>
  <si>
    <t>В С Е Г О   Р А С Х О Д О В:</t>
  </si>
  <si>
    <t>__________________________</t>
  </si>
  <si>
    <t xml:space="preserve"> </t>
  </si>
  <si>
    <t>Приложение 3</t>
  </si>
  <si>
    <t xml:space="preserve">                               по главным распорядителям средств</t>
  </si>
  <si>
    <t xml:space="preserve">  Название главного распорядителя кредитов</t>
  </si>
  <si>
    <t>региональные программы и централизованные мероприятия</t>
  </si>
  <si>
    <t>Донецкий областной совет</t>
  </si>
  <si>
    <t>070602</t>
  </si>
  <si>
    <t>Прочие расходы</t>
  </si>
  <si>
    <t>250203</t>
  </si>
  <si>
    <t>Главное управление образования и науки</t>
  </si>
  <si>
    <t>Детско-юношеская спортивная школа главного  управления образования и науки</t>
  </si>
  <si>
    <t xml:space="preserve">Управление здравоохранения </t>
  </si>
  <si>
    <t>Библиотеки</t>
  </si>
  <si>
    <t>Главное управление по труду и социальной защите населения</t>
  </si>
  <si>
    <t>в т.ч. социальная поддержка учащихся профессионально - технических учебных заведений, студентов высших учебных заведений всех уровней аккредитации из числа детей-сирот и детей, лишённых родительской опеки</t>
  </si>
  <si>
    <t>Помощь по уходу за инвалидами I или II группы вследствие психического расстройства</t>
  </si>
  <si>
    <t xml:space="preserve">Служба по делам несовершеннолетних </t>
  </si>
  <si>
    <t xml:space="preserve">Управление жилищно-коммунального хозяйства </t>
  </si>
  <si>
    <t>110200  110500</t>
  </si>
  <si>
    <t>Донецкое областное производственное объединение "Киновидеопрокат"</t>
  </si>
  <si>
    <t>Подготовка материалов к своду "Памятники истории и культуры"</t>
  </si>
  <si>
    <t>Подготовка материалов к издательству 5,8,9 томов книги "Памяти фронтовиков"</t>
  </si>
  <si>
    <t xml:space="preserve">Управление по делам прессы и информации </t>
  </si>
  <si>
    <t xml:space="preserve">Редакционная группа "Реабилитированные историей" </t>
  </si>
  <si>
    <t xml:space="preserve">Управление по вопросам физической культуры и спорта </t>
  </si>
  <si>
    <t xml:space="preserve">Главное управление экономики </t>
  </si>
  <si>
    <t>Главное финансовое управление</t>
  </si>
  <si>
    <t>200200</t>
  </si>
  <si>
    <t>Охрана и рациональное использование земель</t>
  </si>
  <si>
    <t xml:space="preserve">к решению областного совета </t>
  </si>
  <si>
    <t>Субвенции общего фонда:</t>
  </si>
  <si>
    <t>в т.ч.</t>
  </si>
  <si>
    <t>компенсация за льготный проезд в городском и пригородном электро- и автотранспорте отдельных категорий граждан</t>
  </si>
  <si>
    <t>льготы на услуги связи</t>
  </si>
  <si>
    <t>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t>
  </si>
  <si>
    <t>воздуш-ным транс-портом</t>
  </si>
  <si>
    <t>железно-дорожным транспор-том</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</si>
  <si>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</si>
  <si>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</si>
  <si>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</si>
  <si>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</si>
  <si>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</si>
  <si>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</si>
  <si>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</si>
  <si>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</si>
  <si>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</si>
  <si>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</si>
  <si>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</si>
  <si>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</si>
  <si>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</si>
  <si>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</si>
  <si>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</si>
  <si>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</si>
  <si>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</si>
  <si>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</si>
  <si>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</si>
  <si>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</si>
  <si>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</si>
  <si>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</si>
  <si>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</si>
  <si>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</si>
  <si>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</si>
  <si>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</si>
  <si>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</si>
  <si>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</si>
  <si>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</si>
  <si>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</si>
  <si>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</si>
  <si>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</si>
  <si>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</si>
  <si>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</si>
  <si>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</si>
  <si>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</si>
  <si>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</si>
  <si>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</si>
  <si>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</si>
  <si>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</si>
  <si>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</si>
  <si>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</si>
  <si>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</si>
  <si>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</si>
  <si>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</si>
  <si>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</si>
  <si>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240601  240602  240603  240604  240605</t>
  </si>
  <si>
    <t>Приложение 1</t>
  </si>
  <si>
    <t>Доходы областного бюджета на 2004 год</t>
  </si>
  <si>
    <t>Код</t>
  </si>
  <si>
    <t>Наименование доходов в соответствии с  бюджетной классификацией</t>
  </si>
  <si>
    <t>Общий фонд</t>
  </si>
  <si>
    <t xml:space="preserve">              Специальный фонд</t>
  </si>
  <si>
    <t>в т.ч. бюджет развития</t>
  </si>
  <si>
    <t>6=(гр.3+гр.4)</t>
  </si>
  <si>
    <t>Налоговые поступления</t>
  </si>
  <si>
    <t>Х</t>
  </si>
  <si>
    <t>Налоги на доходы, налоги на прибыль, налоги на увеличение рыночной стоимости</t>
  </si>
  <si>
    <t>Налог с доходов физических лиц</t>
  </si>
  <si>
    <t>Налог на прибыль предприятий</t>
  </si>
  <si>
    <t xml:space="preserve"> Налог на прибыль предприятий и организаций, которые относятся к коммунальной собственности</t>
  </si>
  <si>
    <t>Налоги на собственность</t>
  </si>
  <si>
    <t>Налог с владельцев транспортных средств и других самоходных машин и механизмов</t>
  </si>
  <si>
    <t xml:space="preserve">Сборы за специальное использование природных ресурсов </t>
  </si>
  <si>
    <t>Плата за землю</t>
  </si>
  <si>
    <t>Внутренние налоги на товары и услуги</t>
  </si>
  <si>
    <t xml:space="preserve">Плата за выдачу лицензий и сертификатов </t>
  </si>
  <si>
    <t>Плата за государственную регистрацию субъектов предпринимательской деятельности</t>
  </si>
  <si>
    <t>Плата за лицензии на право розничной торговли алкогольными напитками и табачными изделиями</t>
  </si>
  <si>
    <t xml:space="preserve">Плата за торговый патент на некоторые виды                                                                                                                             предпринимательской деятельности </t>
  </si>
  <si>
    <t>Плата за приобретение торговых патентов пунктами продажи нефтепродуктов (автозаправочными станциями, заправочными пунктами)</t>
  </si>
  <si>
    <t>Неналоговые поступления</t>
  </si>
  <si>
    <t>Доходы от собственности и предпринимательской деятельности</t>
  </si>
  <si>
    <t>Поступление средств от возмещения потерь сельскохозяйственного и лесохозяйственного производства</t>
  </si>
  <si>
    <t>Административные сборы и платежи, доходы от некоммерческой  и побочной продажи</t>
  </si>
  <si>
    <t>Поступления от штрафов и финансовых санкций</t>
  </si>
  <si>
    <t>Административные штрафы и другие санкции</t>
  </si>
  <si>
    <t>Другие неналоговые поступления</t>
  </si>
  <si>
    <t>Другие поступления</t>
  </si>
  <si>
    <t>Собственные поступления бюджетных учреждений</t>
  </si>
  <si>
    <t xml:space="preserve">Поступления от приватизации имущества, которое принадлежит  Автономной Республике Крым и имущества, которое находится в коммунальной собственности </t>
  </si>
  <si>
    <t>Сбор за загрязнение окружающей природной среды</t>
  </si>
  <si>
    <t>Итого доходов</t>
  </si>
  <si>
    <t>Официальные трансферты</t>
  </si>
  <si>
    <t>Субвенции</t>
  </si>
  <si>
    <t>Средства, полученные из общего  фонда бюджета   в бюджет развития (специального фонда)</t>
  </si>
  <si>
    <t>Всего доходов</t>
  </si>
  <si>
    <t>Перечисление предпринимателями части стоимости нестандартной продукции, изготовленной по разрешению на временное отклонение от требований соответствующих стандартов качества продукции, выданного Государственным комитетом Украины по стандартизации, метроло</t>
  </si>
  <si>
    <t>Поступления сумм кредиторской и депонентской задолженности  предприятий, организаций и учреждений, по которым истек срок исковой давности</t>
  </si>
  <si>
    <t xml:space="preserve">Субвенция специального фонда на погашение задолженности по льготам населению за предоставленные услуги связи  </t>
  </si>
  <si>
    <t xml:space="preserve">компенсация за льготный проезд гражданам, которые пострадали вследствие аварии на ЧАЭС </t>
  </si>
  <si>
    <t>Расходы областного бюджета на 2004 год</t>
  </si>
  <si>
    <t xml:space="preserve">              Распределение расходов областного бюджета на 2004 год</t>
  </si>
  <si>
    <t>тыс.грн.</t>
  </si>
  <si>
    <t>Управление по вопросам чрезвычайных ситуаций и по делам защиты населения от последствий Чернобыльской катастрофы</t>
  </si>
  <si>
    <t>Главное управление промышленности, транспорта и связи</t>
  </si>
  <si>
    <t>О70601</t>
  </si>
  <si>
    <t>выплату помощи семьям с детьми, малообеспе-ченным семьям, инвалидам с детства и детям-инвалидам</t>
  </si>
  <si>
    <t>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гражданам,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t>
  </si>
  <si>
    <t>Наименование административно-территориальных единиц</t>
  </si>
  <si>
    <t>Льготы, предоставляемые населению (кроме ветеранов войны и труда, воинской службы, органов внутренних дел и граждан, пострадавших вследствие Чернобыльской катастрофы) на оплату жилищно-коммунальных услуг и природного газа</t>
  </si>
  <si>
    <t>Предупреждение и ликвидация чрезвычайных ситуаций и последствий стихийного бедствия</t>
  </si>
  <si>
    <t>Проведение выборов народных депутатов местных советов</t>
  </si>
  <si>
    <t>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t>
  </si>
  <si>
    <t>Субвенция из государственного бюджета местным бюджетам на строительство метрополитена</t>
  </si>
  <si>
    <t>Средства, передаваемые в Государственный бюджет из бюджета Автономной Республики Крым, областных и районных бюджетов, городских бюджетов</t>
  </si>
  <si>
    <t>Высшие учреждения образования III и IV уровней аккредитации</t>
  </si>
  <si>
    <t>120201</t>
  </si>
  <si>
    <t>080400</t>
  </si>
  <si>
    <t>150101</t>
  </si>
  <si>
    <t>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t>
  </si>
  <si>
    <t>Субвенция из государственного бюджета местным бюджетам на строительство и приобретение жилья для инвалидов-глухих и инвалидов-слепых</t>
  </si>
  <si>
    <t xml:space="preserve">Субвенция из государственного бюджета областному бюджету Донецкой области на мероприятия, связанные с завершением реконструкции областной травматологической больницы </t>
  </si>
  <si>
    <t>Субвенция из государственного бюджета местным бюджетам  на бесплатное обеспечение углем на бытовые потребности лицам, которые имеют такое право согласно ст.48 Горного закона Украины</t>
  </si>
  <si>
    <t xml:space="preserve">Субвенция из государственного 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сокращением штатов, которые находятся на квартирном учете по месту проживания, членам семей из числа этих лиц, которые погибли во время выполнения ими служебных обязанностей, а также участникам боевых действий в Афганистане и военных конфликтов в зарубежных странах </t>
  </si>
  <si>
    <t>Образование (учреждения образования, программы и мероприятия в сфере образования), в том числе:</t>
  </si>
  <si>
    <t>070401</t>
  </si>
  <si>
    <t>Внешкольные учреждения образования, мероприятия по  внешкольной работе с детьми (мероприятия по летнему оздоровлению детей и студентов)</t>
  </si>
  <si>
    <t>Образование (высшие учреждения образования І-ІІ уровней аккредитации; прочие учреждения, мероприятия последипломного образования), в том числе</t>
  </si>
  <si>
    <t>стипендии одаренным учащимся и студентам</t>
  </si>
  <si>
    <t>стипендии одаренным учащимся, студентам и аспирантам</t>
  </si>
  <si>
    <t>центр переподготовки и повышения квалификации работников органов государственной власти, органов  местного самоуправления, руководителей государственных предприятий, учреждений и организаций</t>
  </si>
  <si>
    <t xml:space="preserve">Образование (высшие учреждения образования І-ІІ уровней аккредитации; прочие учреждения и мероприятия последипломного образования) </t>
  </si>
  <si>
    <t>Высшие учреждения образования І-ІІ уровней аккредитации</t>
  </si>
  <si>
    <t xml:space="preserve">Культура                                                                                                                                                            Прочие мероприятия и учреждения в области исскуства и культуры  </t>
  </si>
  <si>
    <t>250329</t>
  </si>
  <si>
    <t>250309</t>
  </si>
  <si>
    <t>41030600</t>
  </si>
  <si>
    <t>Субвенция из государственного бюджета местным бюджетам на выплату помощи семьям с детьми, малообеспеченным семьям, инвалидам с детства  и детям-инвалидам</t>
  </si>
  <si>
    <t>41030800</t>
  </si>
  <si>
    <t>41030900</t>
  </si>
  <si>
    <t>41031000</t>
  </si>
  <si>
    <t>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гражданам,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t>
  </si>
  <si>
    <t>41034700</t>
  </si>
  <si>
    <t>Субвенция из государственного бюджета местным бюджетам на погашение задолженности по льготам населению за предоставленные услуги связи</t>
  </si>
  <si>
    <t>250326</t>
  </si>
  <si>
    <t>250328</t>
  </si>
  <si>
    <t>250330</t>
  </si>
  <si>
    <t>110102</t>
  </si>
  <si>
    <t>110103</t>
  </si>
  <si>
    <t>Театры</t>
  </si>
  <si>
    <t>Филармонии, музыкальные коллективы и ансамбли  и прочие меприятия и учреждения по искусству</t>
  </si>
  <si>
    <t>Культура и искусство, в том числе</t>
  </si>
  <si>
    <t>110502</t>
  </si>
  <si>
    <t>Другие культурно-образовательные учреждения и мероприятия</t>
  </si>
  <si>
    <t>предоставление  льгот ветеранам войны и труда, воинской службы, органов внутренних дел,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жилищно-коммунальных услуг, твердого и жидкого печного бытового топлива) и компенсацию за льготный проезд  отдельных категорий граждан, всего</t>
  </si>
  <si>
    <t>250367</t>
  </si>
  <si>
    <t xml:space="preserve"> Поступления от размещения  в учреждениях банков временно свободных бюджетных  средств </t>
  </si>
  <si>
    <t xml:space="preserve"> Плата за аренду целостных имущественных комплексов и другого государственного имущества </t>
  </si>
  <si>
    <t>091101</t>
  </si>
  <si>
    <t>Содержание центров социальных служб для молодежи</t>
  </si>
  <si>
    <t>091102</t>
  </si>
  <si>
    <t>091103</t>
  </si>
  <si>
    <t>091104</t>
  </si>
  <si>
    <t>Социальные программы и мероприятия государственных органов по делам молодежи</t>
  </si>
  <si>
    <t>091105</t>
  </si>
  <si>
    <t>Содержание подростковых клубов по месту проживания</t>
  </si>
  <si>
    <t>091106</t>
  </si>
  <si>
    <t xml:space="preserve">Прочие расходы </t>
  </si>
  <si>
    <t>091107</t>
  </si>
  <si>
    <t>Социальные программы и мероприятия государственных органов по делам семьи</t>
  </si>
  <si>
    <t>091211</t>
  </si>
  <si>
    <t>Централизованные бухгалтерии</t>
  </si>
  <si>
    <t>Средства, передаваемые по взаимным расчетам между местными бюджетами</t>
  </si>
  <si>
    <t>41021200</t>
  </si>
  <si>
    <t>41021300</t>
  </si>
  <si>
    <t>41035400</t>
  </si>
  <si>
    <t>41032200</t>
  </si>
  <si>
    <t>250342</t>
  </si>
  <si>
    <t>250318</t>
  </si>
  <si>
    <t>250313</t>
  </si>
  <si>
    <t xml:space="preserve">Жилищное строительство и приобретение жилья для отдельных категорий населения  </t>
  </si>
  <si>
    <t>150118</t>
  </si>
  <si>
    <t>150120</t>
  </si>
  <si>
    <t>Строительство метрополитена</t>
  </si>
  <si>
    <t>150119</t>
  </si>
  <si>
    <t>090411</t>
  </si>
  <si>
    <t>Средства на обеспечение бытовым углем отдельных категорий населения</t>
  </si>
  <si>
    <t>090601</t>
  </si>
  <si>
    <t>Дома-интернаты для малолетних инвалидов</t>
  </si>
  <si>
    <t>090901</t>
  </si>
  <si>
    <t>Дома-интернаты (пансионаты) для престарелых и инвалидов системы социальной защиты</t>
  </si>
  <si>
    <t>Программы и мероприятия центров социальных служб для молодежи</t>
  </si>
  <si>
    <t xml:space="preserve"> Социальные программы и мероприятия государственных органов по делам молодежи</t>
  </si>
  <si>
    <t>Социальные программы и мероприятия государственных органов по делам женщин</t>
  </si>
  <si>
    <t>091210</t>
  </si>
  <si>
    <t>Службы технического надзора за строительством и капитальным ремонтом</t>
  </si>
  <si>
    <t>150107</t>
  </si>
  <si>
    <t>Обработка информации по начислению и выплате пособий и компенсаций</t>
  </si>
  <si>
    <t>Здравоохранение (содержание лечебно-профилактических учреждений, проведение мероприятий и выполнение программ), в том числе</t>
  </si>
  <si>
    <t>Физическая культура и спорт (содержание учреждений физкультуры и спорта, проведение учебно-тренировочных сборов, соревнований и мероприятий)</t>
  </si>
  <si>
    <t>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и жилищных субсидий населению на оплату электроэнергии, природного     газа, услуг тепло-, водоснабжения и водоотведения, квартплаты, вывозу бытового мусора и жидких нечистот</t>
  </si>
  <si>
    <t>Субвенция из государственного бюджета местным бюджетам на предоставление льгот ветеранам войны и труда, воинской службы, органов внутренних дел,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зубопротезирования, оплату электроэнергии, жилищно-коммунальнных услуг, твердого и жидкого печного бытового топлива) и компенсацию за льготный проезд отдельных категорий граждан</t>
  </si>
  <si>
    <t>Проведение неотложных восстановительных работ, строительство и реконструкция в медицинских учреждениях</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</si>
  <si>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сокращением штатов, которые находятся на квартирном учете по месту проживания, членам семей из числа этих лиц, которые погибли во время выполнения ими служебных обязанностей, а также участникам боевых действий в Афганистане и военных конфликтов в зарубежных странах </t>
  </si>
  <si>
    <t>250359</t>
  </si>
  <si>
    <t>Управление по делам семьи и молодежи</t>
  </si>
  <si>
    <t>от_______________   №_______</t>
  </si>
  <si>
    <t>от________________ № ____</t>
  </si>
  <si>
    <t>от ______________ № _______</t>
  </si>
  <si>
    <t xml:space="preserve">Специализированные поликлиники              ( врачебно-физкультурный диспансер) </t>
  </si>
  <si>
    <t>41030500</t>
  </si>
  <si>
    <t>Субвенция на выполнение собственных полномочий территориальных громад сел, поселков, городов и их объединений</t>
  </si>
  <si>
    <t>Региональные программы и централизованные мероприятия</t>
  </si>
  <si>
    <t>Реализация государственных программ</t>
  </si>
  <si>
    <t>180409</t>
  </si>
  <si>
    <t>Взносы органов власти Автономной Республики Крым и органов местного самоуправления в уставные фонды субъектов предпринимательской деятельности</t>
  </si>
  <si>
    <t>250380</t>
  </si>
  <si>
    <t>Прочие субвенции</t>
  </si>
  <si>
    <t xml:space="preserve">Главное управление капитального строительста </t>
  </si>
  <si>
    <t>Управление градостроительства и архитектуры</t>
  </si>
  <si>
    <t>от _______________      № _______</t>
  </si>
  <si>
    <t>41030400</t>
  </si>
  <si>
    <t>Субвенция из государственного бюджета местным бюджетам на выполнение инвестиционных проектов</t>
  </si>
  <si>
    <t>41034800</t>
  </si>
  <si>
    <t>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t>
  </si>
  <si>
    <t>250368</t>
  </si>
  <si>
    <t>250324</t>
  </si>
  <si>
    <t>150122</t>
  </si>
  <si>
    <t>Инвестиционные проекты</t>
  </si>
  <si>
    <t>Гостиничное хозяйство</t>
  </si>
  <si>
    <t>100206</t>
  </si>
  <si>
    <t>180109</t>
  </si>
  <si>
    <t>130112</t>
  </si>
  <si>
    <t>41035000</t>
  </si>
  <si>
    <t>Управление культуры облгосадминистрации</t>
  </si>
  <si>
    <t>090416</t>
  </si>
  <si>
    <t>Прочие расходы на социальную защиту ветеранов войны и труда</t>
  </si>
  <si>
    <t>Субвенция из государственного бюджета областному бюджету на социально-экономическое развитие</t>
  </si>
  <si>
    <t xml:space="preserve">Приложение 10 </t>
  </si>
  <si>
    <t xml:space="preserve"> от______________№</t>
  </si>
  <si>
    <t>Субвенция из государственного бюджета областному бюджету на передачу в коммунальную собственность объектов социальной инфраструктуры</t>
  </si>
  <si>
    <t>на повышение стипендии учащимся профессионально – технических и студентам высших учебных заведений в соответствие с Указом Президента Украины от 17.02.2004 № 199.</t>
  </si>
  <si>
    <t>Дополнительная дотация из государственного бюджета бюджету Автономной Республики Крым и областным бюджетам на введение с 1 сентября 2004 года минимальной заработной платы в размере 237 грн. на месяц с сохранением действующих соотношений в оплате труда работникам бюджетной сферы</t>
  </si>
  <si>
    <t>Приложение 4</t>
  </si>
  <si>
    <t xml:space="preserve">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6 Закона Украины "О государственном бюджете на 2004 год" </t>
  </si>
  <si>
    <t>Субвенции и дотации общего фонда:</t>
  </si>
  <si>
    <t>ВСЕГО</t>
  </si>
  <si>
    <t>Субвенция на бесплатное обеспечение углем на бытовые нужды лицам, имеющим такое право согласно ст. 48 Горного закона Украины</t>
  </si>
  <si>
    <t>Субвенция на выполнение инвестиционных проектов, предусмотренная постановлением КМУ от 19.04.2004 № 509</t>
  </si>
  <si>
    <t>Субвенция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 предусмотренная постановлением КМУ от 19.04.2004 № 510</t>
  </si>
  <si>
    <t>Субвенция из государтвенного бюджета на социально-экономическое развитие</t>
  </si>
  <si>
    <t>Субвенция из государтвенного бюджета на передачу в коммунальную собственность объектов социальной инфраструктуры</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</si>
  <si>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</si>
  <si>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Перечень объектов и мероприятий, финансирование которых осуществляется за счет субвенции из бюджета Добропольского района на выполнение совместных мероприятий, связанных с Годом духовности на Донетчине и проведением юбилейных мероприятий "Святогорье - 2004"</t>
  </si>
  <si>
    <t>Основные виды работ и перечень</t>
  </si>
  <si>
    <t>Стадия выполнения задания в текущем году</t>
  </si>
  <si>
    <t>Исполнитель задания (главный распорядитель бюджетных средств)</t>
  </si>
  <si>
    <t>Объем средств</t>
  </si>
  <si>
    <t>Срок</t>
  </si>
  <si>
    <t xml:space="preserve">Экономический </t>
  </si>
  <si>
    <t>объектов</t>
  </si>
  <si>
    <t>выполнения</t>
  </si>
  <si>
    <t>эффект</t>
  </si>
  <si>
    <t xml:space="preserve">1. </t>
  </si>
  <si>
    <t>Строительство музея Великой Отечественной войны в г. Святогорске с целью сохранения народной памяти, патриотического воспитания населения, передачи поколениям героического прошлого украинского народа на месте  крупных сражений в период Великой Отечественной войны</t>
  </si>
  <si>
    <t>Строительство  музея Великой Отечественной войны в г. Святогорск</t>
  </si>
  <si>
    <t>Обеспечение выполнения работ согласно проектно-сметной документации</t>
  </si>
  <si>
    <t>Главное управление капитального строительства облгосадминистрации</t>
  </si>
  <si>
    <t>II полугодие</t>
  </si>
  <si>
    <t>2.</t>
  </si>
  <si>
    <t>Улучшение обслуживания ветеранов войны в Святогорском госпитале для инвалидов Великой Отечественной войны, функционирования госпиталя</t>
  </si>
  <si>
    <t xml:space="preserve">Реконструкция хозяйственного корпуса госпиталя под прчечную, приобретение и установка необходимого оборудования  </t>
  </si>
  <si>
    <t>3.</t>
  </si>
  <si>
    <t>Обеспечение жильем работников детского санаторно-оздоровительного центре для детей -сирот и детей, лишенных родительской опеки "Изумрудный город"</t>
  </si>
  <si>
    <t>Окончание строительства 12-ти квартирного дома для работником центра</t>
  </si>
  <si>
    <t>Окончание строительства</t>
  </si>
  <si>
    <t>Сдача в эксплуатацию 12 квартир площадью 852,8 кв.м</t>
  </si>
  <si>
    <t>4.</t>
  </si>
  <si>
    <t>Улучшение теплоснабжения санаторно-оздоровительного центра для детей -сирот и детей, лишенных родительской опеки "Изумрудный город"</t>
  </si>
  <si>
    <t>Проведение работ по капитальному ремонту котельной, оказывающей услуги по теплоснабжению санаторно-оздоровительного центра</t>
  </si>
  <si>
    <t>5.</t>
  </si>
  <si>
    <t>Улучшение оказания услуг водоотведения населению и организациям г. Святогорска</t>
  </si>
  <si>
    <t xml:space="preserve">Проведение работ по капитальному ремонту Канализационных насосных станции № 1, № 2 г.Святогорска </t>
  </si>
  <si>
    <t>6.</t>
  </si>
  <si>
    <t>Проведение ремонта помещений станции спасения на водах, расположенной на территории г. Святогорска</t>
  </si>
  <si>
    <t>Капитальный ремонт помещений станции спасения на водах</t>
  </si>
  <si>
    <t>Главное управление по вопросам чрезвычайных ситуаций и по делам защиты населения от последствий чрезвычайных ситуаций</t>
  </si>
  <si>
    <t>7.</t>
  </si>
  <si>
    <t>Открытие пенсионата ветеранов войны и труда на базе участковой больницы на станции Красный Лиман Донецкой железной дороги</t>
  </si>
  <si>
    <t>Реконструкция помещений для открытия пансионата ветеранов войны и труда в г.Красный Лиман</t>
  </si>
  <si>
    <t>Завершение реконструкции</t>
  </si>
  <si>
    <t>Открытие пансионата на 100 мест</t>
  </si>
  <si>
    <t>Приобретение машин и механизмов предприятиям жилищно-коммунального хозяйства</t>
  </si>
  <si>
    <t>Оптимизация системы теплоснабжения пос. Хлюпино г. Донецка</t>
  </si>
  <si>
    <t>Приобретение аппаратов ультразвуковой диагностики, аппаратов искусственной вентиляции легких, аппараты для отслеживания, портативных ультразвуковых аппаратов и др.медицинское оборудование для родовспомогательных и детских учреждений здравоохранения области</t>
  </si>
  <si>
    <t>Дополнительная дотация из госбюджета на введение с 1 сентября 2004 г. минимальной заработной платы в размере 237 грн. на месяц с сохранением действующих соотношений в оплате труда работников бюджетной сфере</t>
  </si>
  <si>
    <t>Дополнительная дотация из госбюджета на повышение стипендий ученикам профессионально-технических и студентам высших учебных заведений согласно Указу Президента Украины от 17.02.2004 № 199</t>
  </si>
  <si>
    <t>компенсация за льготный междугородний проезд</t>
  </si>
  <si>
    <t>Кировское</t>
  </si>
  <si>
    <t>в т.ч. расходы на содержание объектов социальной сферы предприятий, которые передаются в коммунальную собственность</t>
  </si>
  <si>
    <t>100105</t>
  </si>
  <si>
    <t>Субвенция из государственного бюджета  местным бюджетам на социально-экономическое развитие</t>
  </si>
  <si>
    <t>250343</t>
  </si>
  <si>
    <t xml:space="preserve">Реконструкция котельных и тепловых сетей предприятий ОКП "Донецктеплокоммунэнерго"
</t>
  </si>
  <si>
    <t>КФК</t>
  </si>
  <si>
    <t>Оптимизация системы теплоснабжения в отдельных городах и районах</t>
  </si>
  <si>
    <t>август - октябрь 2004 года</t>
  </si>
  <si>
    <t>Закупка 4 велосипедов для шоссе и 4 велосипедов для трека</t>
  </si>
  <si>
    <t>Закупка 2 комплектов борцовских ковров</t>
  </si>
  <si>
    <t>Закупка 2 комплектов татамов</t>
  </si>
  <si>
    <t>О80000</t>
  </si>
  <si>
    <t>О90000</t>
  </si>
  <si>
    <t>О70000</t>
  </si>
  <si>
    <t>Приобретение холодильного оборудования, оборудования для пищеблоков и прачечных</t>
  </si>
  <si>
    <t xml:space="preserve">Распределение между бюджетами городов областного значения, районов области суммы субвенции из областного бюджета </t>
  </si>
  <si>
    <t>Направление использования средств субвенции</t>
  </si>
  <si>
    <t>Сумма субвенции, тыс.грн.</t>
  </si>
  <si>
    <t>г.Славянск</t>
  </si>
  <si>
    <t>для подготовки медицинского обслуживания юбилейных мероприятий "Святогорье-2004"</t>
  </si>
  <si>
    <t>Великоновоселковский район</t>
  </si>
  <si>
    <t>на социально-экономическое развитие</t>
  </si>
  <si>
    <t>Марьинский район</t>
  </si>
  <si>
    <t xml:space="preserve">Всего </t>
  </si>
  <si>
    <t>Приложение 7</t>
  </si>
  <si>
    <t xml:space="preserve">Перечень объектов и мероприятий, финансирование которых </t>
  </si>
  <si>
    <t xml:space="preserve">осуществляется за счет средств субвенции из государственного бюджета на социально-экономическое развитие </t>
  </si>
  <si>
    <t>Перечень мероприятий</t>
  </si>
  <si>
    <t>Основные виды работ и перечень объектов</t>
  </si>
  <si>
    <t>Стадия выполнения мероприятий в текущем году</t>
  </si>
  <si>
    <t xml:space="preserve">Исполнитель мероприятия </t>
  </si>
  <si>
    <t>Объем средств                                                        (тыс. грн.)</t>
  </si>
  <si>
    <t>Срок выполнения</t>
  </si>
  <si>
    <t>Экономический эффект</t>
  </si>
  <si>
    <t>Направление средств субвенции из госбюджета</t>
  </si>
  <si>
    <t>Передача субвенции бюджетам городов и районов из обл-бюджета, тыс.грн.</t>
  </si>
  <si>
    <t>Финансирование мероприятий из обл. бюджета, тыс.грн.</t>
  </si>
  <si>
    <t>Ремонт, модернизация и замена оборудования неработающих лифтов</t>
  </si>
  <si>
    <t>выполнение работ согласно проектно-сметной документации</t>
  </si>
  <si>
    <t>Городские исполнительные комитеты</t>
  </si>
  <si>
    <t>июль-октябрь</t>
  </si>
  <si>
    <t>восстановление предоставления услуг потребителям</t>
  </si>
  <si>
    <t>в том числе:</t>
  </si>
  <si>
    <t xml:space="preserve"> -:-</t>
  </si>
  <si>
    <t>горисполком</t>
  </si>
  <si>
    <t>Харцызск</t>
  </si>
  <si>
    <t>Обновление спецтранспорта на предприятиях жилищно-коммунального хозяйства</t>
  </si>
  <si>
    <t>Закупка</t>
  </si>
  <si>
    <t>улучшение предоставления услуг</t>
  </si>
  <si>
    <t xml:space="preserve">Оснащение жилых домов городов и районов приборами учета питьевой воды
</t>
  </si>
  <si>
    <t>Приобретение и установка водосчетчиков на жилые дома</t>
  </si>
  <si>
    <t>улучшение учета и сокращение расхода 
питьевой воды</t>
  </si>
  <si>
    <t>качественное предоставление услуг</t>
  </si>
  <si>
    <t>Модернизация (реконструкция) водопроводно-канализационных насосных станций</t>
  </si>
  <si>
    <t>Закупка насосных агрегатов для замены моральноустаревших и физически изношенных</t>
  </si>
  <si>
    <t>экономия эл.энергии и качественное предоставление услуг</t>
  </si>
  <si>
    <t>Приобретение литотиптера</t>
  </si>
  <si>
    <t xml:space="preserve">8. Материально-техническое обеспечение и переоснащение учреждений физической культуры области </t>
  </si>
  <si>
    <t>Ремонт рентгенаппартов, наркозно-дыхательной аппаратуры, автоклавов и др. медицинского оборудования в лечебных учреждениях области</t>
  </si>
  <si>
    <t>Ликвидация аварийноопасной ситуации на участках канала Северский Донец-Донбасс (ПК 668-674). Установка противофильтрационного экрана</t>
  </si>
  <si>
    <t>Очищение дна канала от щебня и ил. Установка геосинтетического покрытия на участке протяженностью 700 п.м. Мантаж сборных железобетонных плит.
Укладка монолитного бетона.</t>
  </si>
  <si>
    <t>1490,0 тыс.грн.</t>
  </si>
  <si>
    <t>Оптимизация системы водоснабжения 
пос. Новолуганское Артемовского района</t>
  </si>
  <si>
    <t xml:space="preserve">Реконструкция насосных станций и водопроводных сетей </t>
  </si>
  <si>
    <t>Артемовская райгосадми-нистрация</t>
  </si>
  <si>
    <t xml:space="preserve">восстановление предоставления услуг </t>
  </si>
  <si>
    <t>Оптимизация системы теплоснабжения пгт. Мангуш Першотравневого района</t>
  </si>
  <si>
    <t>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квартплаты, вывозу бытового мусора и жидких нечистот</t>
  </si>
  <si>
    <t xml:space="preserve">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вдовам ветеранов воинской службы и органов внутренних дел, а также уволенным со службы по возрасту, болезни или выслугой лет работникам милиции, рядового и руководящего состава криминально-исполнительной системы, государственной пожарной охраны, детям (до достижения совершеннолетия) работников милиции, </t>
  </si>
  <si>
    <t xml:space="preserve">Реконструкция котельных и тепловых сетей
</t>
  </si>
  <si>
    <t>Першотравневая райгосадми-нистрация</t>
  </si>
  <si>
    <t>Оптимизация системы теплоснабжения г.Селидово</t>
  </si>
  <si>
    <t>Завершення реконструкції котельні ДКВР-1 
з переведенням на газ</t>
  </si>
  <si>
    <t>Селидовский горисполком</t>
  </si>
  <si>
    <t>Реконструкция угольной котельной пос. Хлюпино с переводом на газ</t>
  </si>
  <si>
    <t>Донецкий горисполком</t>
  </si>
  <si>
    <t>ИТОГО по жилищно-коммунальному хозяйству:</t>
  </si>
  <si>
    <t xml:space="preserve">Восстановление неработающих лифтов в коммунальном жилом фонде городов, </t>
  </si>
  <si>
    <t>Создание необходимых условий для проведения учебно-тренировочного процесса в детско-юношеских спортивных школах  и учреждениях физической культуры и спорта, подготовки и участия спортсменов области во Всеукраинских и международных соревнованиях, Олимпийских и Параолимпийских играх</t>
  </si>
  <si>
    <t xml:space="preserve">1.Приобретение и установка автономной котельной спортивному комплексу “Спарта” г.Донецка  </t>
  </si>
  <si>
    <t>Проведение работ согласно проектно-сметной документации</t>
  </si>
  <si>
    <t>Управление по вопросам физической культуры и спорта облгос-администрации</t>
  </si>
  <si>
    <t>Создание необходимых условий для организации учебно-тренировочного процесса для детей и подростков по различным видам спорта, проведение занятий с детьми-инвалидами, детьми-сиротами. Привлечение дополнительно к занятиям детей и подростков свыше 200 чел. в сутки.</t>
  </si>
  <si>
    <t>2.Приобретение спортивных велосипедов для спортсменов детско-юношеских спортивных школ и детско-юношеских спортивных клубов области</t>
  </si>
  <si>
    <t xml:space="preserve">Управление по вопросам физической культуры и спорта облгос-администрации </t>
  </si>
  <si>
    <t>Второе полугодие 2004 года</t>
  </si>
  <si>
    <t>Создание условий для воспитания спортсменов для включения в состав сборных команд Украины</t>
  </si>
  <si>
    <t>3.Приобретение гимнастического оснащения для Донецкого высшего училища олимпийского резерва им.С.Бубки</t>
  </si>
  <si>
    <t xml:space="preserve">50,0 </t>
  </si>
  <si>
    <t>Подготовка спортсменов в состав национальной сборной команды Украины по спортивной гимнастике</t>
  </si>
  <si>
    <t xml:space="preserve">4. Приобретение легкоатлетического оснащения Региональному спортивному комплексу “Олимпийский” для детей, которые занимаются в детско-юношеских спортивных школах </t>
  </si>
  <si>
    <t>325,0</t>
  </si>
  <si>
    <t>Дополнительное привлечение к занятиям легкой атлетикой около 1500 детей и подростков.Воспитание спортсменов для включения в состав сборных команд Украины по легкой атлетике</t>
  </si>
  <si>
    <t xml:space="preserve">5.Приобретение борцовских ковров для ведущих спортсменов области, которые занимаются в школе высшего спортивного мастерства, областной комплексной детско-юношеской спортивной школе </t>
  </si>
  <si>
    <t>Дополнительное привлечение около 200 детей. Создание условий для воспитания спортсменов для включения в состав сборных команд Украины по различным видам борьбы</t>
  </si>
  <si>
    <t>6. Приобретение татами для ведущих спортсменов области, которые занимаются в школе высшего спортивного мастерства, областной комплексной детско-юношеской спортивной школе</t>
  </si>
  <si>
    <t>Дополнительное привлечение около 200 детей. Создание условий для воспитания спортсменов для включения в состав сборных команд Украины по борьбе дзюдо и самбо</t>
  </si>
  <si>
    <t>7. Проведение ремонтных работ дворца спорта Донецкого областного совета “Динамо” для проведения занятий спортсменов области, физкультурно-спортивных занятий по плаванию населения разных возрастных категорий</t>
  </si>
  <si>
    <t>100,0</t>
  </si>
  <si>
    <t>Сентябрь  2004 року</t>
  </si>
  <si>
    <t xml:space="preserve">Стабильность работы базы, что приведет к увеличению количества занимающихся человек </t>
  </si>
  <si>
    <t>95,0</t>
  </si>
  <si>
    <t xml:space="preserve">Второе полугодие 2004 года </t>
  </si>
  <si>
    <t>Создание условий для участия сборных команд области во Всеукраинских и международных соревнованиях</t>
  </si>
  <si>
    <t>ИТОГО по физкультуре и спорту:</t>
  </si>
  <si>
    <t xml:space="preserve">Оснащение 4-х семейных амбулаторий Тельмановского района и 9-ти семейных амбулаторий Амвросиевского района </t>
  </si>
  <si>
    <t>Приобретение оборудования и санитарного транспорта</t>
  </si>
  <si>
    <t>Управление здравоохранения облгосадми-нистрации</t>
  </si>
  <si>
    <t>август-декабрь 2004 года</t>
  </si>
  <si>
    <t>Улучшение предоставления медицинской помощи сельским жителям</t>
  </si>
  <si>
    <t>Проведение ремонтно-восстановительных работ медицинского оборудования в лечебных учреждениях</t>
  </si>
  <si>
    <t>Проведение работ согласно дефектных актов, составленых на основе проведеного обследования технического состояния оборудования</t>
  </si>
  <si>
    <t>Улучшение состояния медицинского оборудования необходимого для предоставления медицинских услуг</t>
  </si>
  <si>
    <t>Проведение рентгенобследо-вания</t>
  </si>
  <si>
    <t>Приобретение рентгенаппаратов</t>
  </si>
  <si>
    <t>сентябрь-октябрь  2004 года</t>
  </si>
  <si>
    <t>Снижение заболеваний туберкулезом</t>
  </si>
  <si>
    <t>Обеспечение бесперебойного энергоснабжения медицинской аппаратуры ДОКТМО</t>
  </si>
  <si>
    <t xml:space="preserve">Приобретение источников бесперебойного энергоснабжения </t>
  </si>
  <si>
    <t>август                  2004 года</t>
  </si>
  <si>
    <t>Предупреждение аварийных ситуаций</t>
  </si>
  <si>
    <t>Обеспечение необходимых условий в ДОКТМО для обследования больных области литотриптером</t>
  </si>
  <si>
    <t>Управление здравоохранения облгосадми</t>
  </si>
  <si>
    <t>Улучшение медицинского обслуживания населения области</t>
  </si>
  <si>
    <t>Проведение рентгенобследо-вания в ДОКТМО</t>
  </si>
  <si>
    <t>Приобретение рентгенологического оборудования</t>
  </si>
  <si>
    <t>Обеспечение проведения качественной дородовой диагностики беременных, переоснащение реанимационных отделений и неонотальных центров</t>
  </si>
  <si>
    <t>Снижение смертности детей от условно-управляемых причин (врожденные пороки развития, состояний, которые зависят от вынашивания беременности и родов) и улучшение медицинской помощи новорожденным</t>
  </si>
  <si>
    <t>ИТОГО по здравоохранению:</t>
  </si>
  <si>
    <t>Осуществление реконструкции отделения №1, реконструкции прачечной  в Мариупольском пансионате ветеранов войны и труда №2</t>
  </si>
  <si>
    <t>Капитальный ремонт и реконструкция</t>
  </si>
  <si>
    <t>Главное управление труда и социальной защиты населения облгосадминистрации</t>
  </si>
  <si>
    <t>II полугодие 2004 года</t>
  </si>
  <si>
    <t>Улучшение условий пребывания льготной категории граждан (инвалидов и ветеранов войны, ветеранов труда)</t>
  </si>
  <si>
    <t xml:space="preserve">Обеспечение кухонным оборудованием и оборудованием для прачечных домов-интернатов для пожилых людей и инвалидов системы социальной защиты </t>
  </si>
  <si>
    <t>Кухонное оборудование (холодильный шкаф, холодильная камера, котел пищеварительный, электроплита и др.). Оборудование для прачечных (стиральная машина, гладильный каток, центрифуга и др.)</t>
  </si>
  <si>
    <t>II полугодия 2004 года</t>
  </si>
  <si>
    <t xml:space="preserve">Улучшение условий пребывания подопечных домов-интернатов  </t>
  </si>
  <si>
    <t xml:space="preserve">Обеспечение кухонным оборудованием и оборудованием для прачечных домов-интернатов для малолетних  инвалидов системы социальной защиты </t>
  </si>
  <si>
    <t>Кухонное оборудование (холодильный шкаф, холодильная камера, котел пищеварительный, электроплита и др.). Оборудование для прачечных (стиральная машина, гладильный каток, центрифуга  и др.)</t>
  </si>
  <si>
    <t>ИТОГО по социальной защите:</t>
  </si>
  <si>
    <t xml:space="preserve">Обеспечение технологическим оборудованием школ-интернатов для детей-сирот и для детей с ограниченными возможностями в развитии </t>
  </si>
  <si>
    <t>Главное управление образования и науки облгосадминистрации</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</si>
</sst>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_ ;[Red]\-#,##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24">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b/>
      <sz val="11"/>
      <name val="Times New Roman"/>
      <family val="1"/>
    </font>
    <font>
      <sz val="10"/>
      <color indexed="8"/>
      <name val="Times New Roman"/>
      <family val="1"/>
    </font>
    <font>
      <b/>
      <sz val="10"/>
      <color indexed="8"/>
      <name val="Times New Roman"/>
      <family val="1"/>
    </font>
    <font>
      <u val="single"/>
      <sz val="7.5"/>
      <color indexed="12"/>
      <name val="Arial Cyr"/>
      <family val="0"/>
    </font>
    <font>
      <u val="single"/>
      <sz val="7.5"/>
      <color indexed="36"/>
      <name val="Arial Cyr"/>
      <family val="0"/>
    </font>
    <font>
      <b/>
      <sz val="14"/>
      <name val="Times New Roman"/>
      <family val="1"/>
    </font>
    <font>
      <sz val="12"/>
      <name val="Times New Roman"/>
      <family val="1"/>
    </font>
    <font>
      <b/>
      <sz val="16"/>
      <name val="Times New Roman"/>
      <family val="1"/>
    </font>
    <font>
      <b/>
      <sz val="13"/>
      <name val="Times New Roman"/>
      <family val="1"/>
    </font>
    <font>
      <sz val="13"/>
      <name val="Times New Roman"/>
      <family val="1"/>
    </font>
    <font>
      <i/>
      <sz val="11"/>
      <name val="Times New Roman"/>
      <family val="1"/>
    </font>
    <font>
      <i/>
      <sz val="10"/>
      <name val="Times New Roman"/>
      <family val="1"/>
    </font>
    <font>
      <i/>
      <sz val="12"/>
      <name val="Times New Roman"/>
      <family val="1"/>
    </font>
    <font>
      <sz val="12"/>
      <name val="Arial Cyr"/>
      <family val="0"/>
    </font>
    <font>
      <b/>
      <sz val="12"/>
      <name val="Arial Cyr"/>
      <family val="0"/>
    </font>
  </fonts>
  <fills count="2">
    <fill>
      <patternFill/>
    </fill>
    <fill>
      <patternFill patternType="gray125"/>
    </fill>
  </fills>
  <borders count="50">
    <border>
      <left/>
      <right/>
      <top/>
      <bottom/>
      <diagonal/>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medium"/>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68">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top"/>
    </xf>
    <xf numFmtId="0" fontId="3" fillId="0" borderId="4"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5" xfId="0" applyFont="1" applyFill="1" applyBorder="1" applyAlignment="1">
      <alignment horizontal="left" wrapText="1"/>
    </xf>
    <xf numFmtId="0" fontId="3" fillId="0" borderId="0" xfId="0" applyFont="1" applyFill="1" applyAlignment="1">
      <alignment/>
    </xf>
    <xf numFmtId="49" fontId="1" fillId="0" borderId="5" xfId="0" applyNumberFormat="1" applyFont="1" applyFill="1" applyBorder="1" applyAlignment="1">
      <alignment horizontal="left" vertical="center" wrapText="1"/>
    </xf>
    <xf numFmtId="0" fontId="3" fillId="0" borderId="0" xfId="0" applyFont="1" applyFill="1" applyBorder="1" applyAlignment="1">
      <alignment/>
    </xf>
    <xf numFmtId="0" fontId="1" fillId="0" borderId="5" xfId="0" applyFont="1" applyFill="1" applyBorder="1" applyAlignment="1">
      <alignment horizontal="left" vertical="center" wrapText="1"/>
    </xf>
    <xf numFmtId="172" fontId="1" fillId="0" borderId="5" xfId="0" applyNumberFormat="1" applyFont="1" applyFill="1" applyBorder="1" applyAlignment="1">
      <alignment/>
    </xf>
    <xf numFmtId="0" fontId="3" fillId="0" borderId="5" xfId="0" applyFont="1" applyFill="1" applyBorder="1" applyAlignment="1">
      <alignment horizontal="left" wrapText="1"/>
    </xf>
    <xf numFmtId="172" fontId="3" fillId="0" borderId="5" xfId="0" applyNumberFormat="1" applyFont="1" applyFill="1" applyBorder="1" applyAlignment="1">
      <alignment/>
    </xf>
    <xf numFmtId="172" fontId="3" fillId="0" borderId="0" xfId="0" applyNumberFormat="1" applyFont="1" applyFill="1" applyBorder="1" applyAlignment="1">
      <alignment/>
    </xf>
    <xf numFmtId="173" fontId="3" fillId="0" borderId="0" xfId="0" applyNumberFormat="1" applyFont="1" applyFill="1" applyAlignment="1">
      <alignment/>
    </xf>
    <xf numFmtId="172" fontId="1" fillId="0" borderId="5" xfId="0" applyNumberFormat="1" applyFont="1" applyFill="1" applyBorder="1" applyAlignment="1">
      <alignment horizontal="right"/>
    </xf>
    <xf numFmtId="0" fontId="0" fillId="0" borderId="0" xfId="0" applyFont="1" applyFill="1" applyAlignment="1">
      <alignment/>
    </xf>
    <xf numFmtId="172" fontId="1" fillId="0" borderId="0" xfId="0" applyNumberFormat="1" applyFont="1" applyFill="1" applyAlignment="1">
      <alignment/>
    </xf>
    <xf numFmtId="173" fontId="1" fillId="0" borderId="0" xfId="0" applyNumberFormat="1" applyFont="1" applyFill="1" applyAlignment="1">
      <alignment/>
    </xf>
    <xf numFmtId="0" fontId="1" fillId="0" borderId="0" xfId="0" applyFont="1" applyFill="1" applyAlignment="1">
      <alignment vertical="center"/>
    </xf>
    <xf numFmtId="0" fontId="0" fillId="0" borderId="0" xfId="0" applyFill="1" applyAlignment="1">
      <alignment/>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5" xfId="0" applyNumberFormat="1" applyFont="1" applyFill="1" applyBorder="1" applyAlignment="1">
      <alignment horizontal="left" vertical="center" wrapText="1"/>
    </xf>
    <xf numFmtId="172" fontId="0" fillId="0" borderId="0" xfId="0" applyNumberFormat="1" applyFill="1" applyAlignment="1">
      <alignment/>
    </xf>
    <xf numFmtId="0" fontId="0" fillId="0" borderId="0" xfId="0" applyFill="1" applyBorder="1" applyAlignment="1">
      <alignment/>
    </xf>
    <xf numFmtId="173" fontId="0" fillId="0" borderId="0" xfId="0" applyNumberFormat="1" applyFill="1" applyAlignment="1">
      <alignment/>
    </xf>
    <xf numFmtId="1" fontId="0" fillId="0" borderId="0" xfId="0" applyNumberFormat="1" applyFill="1" applyAlignment="1">
      <alignment/>
    </xf>
    <xf numFmtId="172" fontId="5" fillId="0" borderId="5" xfId="0" applyNumberFormat="1" applyFont="1" applyFill="1" applyBorder="1" applyAlignment="1">
      <alignment horizontal="center"/>
    </xf>
    <xf numFmtId="172" fontId="1" fillId="0" borderId="6" xfId="0" applyNumberFormat="1" applyFont="1" applyFill="1" applyBorder="1" applyAlignment="1">
      <alignment horizontal="right"/>
    </xf>
    <xf numFmtId="172" fontId="3" fillId="0" borderId="6" xfId="0" applyNumberFormat="1" applyFont="1" applyFill="1" applyBorder="1" applyAlignment="1">
      <alignment horizontal="right"/>
    </xf>
    <xf numFmtId="172" fontId="3" fillId="0" borderId="5" xfId="0" applyNumberFormat="1" applyFont="1" applyFill="1" applyBorder="1" applyAlignment="1">
      <alignment horizontal="right"/>
    </xf>
    <xf numFmtId="0" fontId="1" fillId="0" borderId="5" xfId="0" applyFont="1" applyFill="1" applyBorder="1" applyAlignment="1">
      <alignment horizontal="left" wrapText="1" shrinkToFit="1"/>
    </xf>
    <xf numFmtId="0" fontId="1" fillId="0" borderId="5" xfId="0" applyFont="1" applyFill="1" applyBorder="1" applyAlignment="1">
      <alignment horizontal="left" vertical="center" wrapText="1" shrinkToFit="1"/>
    </xf>
    <xf numFmtId="49" fontId="1" fillId="0" borderId="5" xfId="0" applyNumberFormat="1" applyFont="1" applyFill="1" applyBorder="1" applyAlignment="1">
      <alignment horizontal="left" wrapText="1"/>
    </xf>
    <xf numFmtId="0" fontId="1" fillId="0" borderId="5" xfId="0" applyNumberFormat="1" applyFont="1" applyFill="1" applyBorder="1" applyAlignment="1">
      <alignment horizontal="left" wrapText="1"/>
    </xf>
    <xf numFmtId="0" fontId="1" fillId="0" borderId="0" xfId="0" applyFont="1" applyFill="1" applyAlignment="1">
      <alignment horizontal="left" vertical="top"/>
    </xf>
    <xf numFmtId="0" fontId="3" fillId="0" borderId="6" xfId="0" applyFont="1" applyFill="1" applyBorder="1" applyAlignment="1">
      <alignment horizontal="left" wrapText="1"/>
    </xf>
    <xf numFmtId="49" fontId="3" fillId="0" borderId="5" xfId="0" applyNumberFormat="1" applyFont="1" applyFill="1" applyBorder="1" applyAlignment="1">
      <alignment horizontal="left" wrapText="1"/>
    </xf>
    <xf numFmtId="0" fontId="3" fillId="0" borderId="5" xfId="0" applyFont="1" applyFill="1" applyBorder="1" applyAlignment="1">
      <alignment horizontal="left" vertical="center" wrapText="1"/>
    </xf>
    <xf numFmtId="49" fontId="3" fillId="0" borderId="5" xfId="0" applyNumberFormat="1" applyFont="1" applyFill="1" applyBorder="1" applyAlignment="1">
      <alignment vertical="center" wrapText="1"/>
    </xf>
    <xf numFmtId="0" fontId="3" fillId="0" borderId="5"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5" xfId="0" applyFont="1" applyFill="1" applyBorder="1" applyAlignment="1">
      <alignment horizontal="left"/>
    </xf>
    <xf numFmtId="172" fontId="1" fillId="0" borderId="7" xfId="0" applyNumberFormat="1" applyFont="1" applyFill="1" applyBorder="1" applyAlignment="1">
      <alignment horizontal="right"/>
    </xf>
    <xf numFmtId="0" fontId="0" fillId="0" borderId="0" xfId="0" applyFont="1" applyFill="1" applyAlignment="1">
      <alignment/>
    </xf>
    <xf numFmtId="0" fontId="3" fillId="0" borderId="5" xfId="0" applyFont="1" applyFill="1" applyBorder="1" applyAlignment="1">
      <alignment horizontal="left" wrapText="1" shrinkToFit="1"/>
    </xf>
    <xf numFmtId="172" fontId="3" fillId="0" borderId="5" xfId="0" applyNumberFormat="1" applyFont="1" applyFill="1" applyBorder="1" applyAlignment="1">
      <alignment horizontal="center"/>
    </xf>
    <xf numFmtId="172" fontId="3" fillId="0" borderId="8" xfId="0" applyNumberFormat="1" applyFont="1" applyFill="1" applyBorder="1" applyAlignment="1">
      <alignment horizontal="center"/>
    </xf>
    <xf numFmtId="173" fontId="7" fillId="0" borderId="0" xfId="0" applyNumberFormat="1" applyFont="1" applyFill="1" applyBorder="1" applyAlignment="1">
      <alignment horizontal="center"/>
    </xf>
    <xf numFmtId="0" fontId="7" fillId="0" borderId="0" xfId="0" applyFont="1" applyFill="1" applyAlignment="1">
      <alignment horizontal="center"/>
    </xf>
    <xf numFmtId="172" fontId="3" fillId="0" borderId="9" xfId="0" applyNumberFormat="1" applyFont="1" applyFill="1" applyBorder="1" applyAlignment="1">
      <alignment horizontal="center"/>
    </xf>
    <xf numFmtId="49" fontId="3" fillId="0" borderId="10" xfId="0" applyNumberFormat="1" applyFont="1" applyFill="1" applyBorder="1" applyAlignment="1">
      <alignment horizontal="center" vertical="top"/>
    </xf>
    <xf numFmtId="49" fontId="1" fillId="0" borderId="0" xfId="0" applyNumberFormat="1" applyFont="1" applyFill="1" applyAlignment="1">
      <alignment horizontal="center" vertical="top"/>
    </xf>
    <xf numFmtId="49" fontId="3" fillId="0" borderId="4" xfId="0" applyNumberFormat="1" applyFont="1" applyFill="1" applyBorder="1" applyAlignment="1">
      <alignment horizontal="center" vertical="top"/>
    </xf>
    <xf numFmtId="0" fontId="1" fillId="0" borderId="7" xfId="0" applyFont="1" applyFill="1" applyBorder="1" applyAlignment="1">
      <alignment horizontal="left" wrapText="1"/>
    </xf>
    <xf numFmtId="0" fontId="1" fillId="0" borderId="6" xfId="0" applyFont="1" applyFill="1" applyBorder="1" applyAlignment="1">
      <alignment horizontal="left" wrapText="1" shrinkToFit="1"/>
    </xf>
    <xf numFmtId="172" fontId="0" fillId="0" borderId="0" xfId="0" applyNumberFormat="1" applyFont="1" applyFill="1" applyAlignment="1">
      <alignment/>
    </xf>
    <xf numFmtId="49" fontId="3" fillId="0" borderId="11" xfId="0" applyNumberFormat="1" applyFont="1" applyFill="1" applyBorder="1" applyAlignment="1">
      <alignment horizontal="center" vertical="top" wrapText="1"/>
    </xf>
    <xf numFmtId="172" fontId="3" fillId="0" borderId="8" xfId="0" applyNumberFormat="1" applyFont="1" applyFill="1" applyBorder="1" applyAlignment="1">
      <alignment horizontal="right"/>
    </xf>
    <xf numFmtId="49" fontId="1" fillId="0" borderId="10" xfId="0" applyNumberFormat="1" applyFont="1" applyFill="1" applyBorder="1" applyAlignment="1">
      <alignment horizontal="center" vertical="top" wrapText="1"/>
    </xf>
    <xf numFmtId="172" fontId="1" fillId="0" borderId="8" xfId="0" applyNumberFormat="1" applyFont="1" applyFill="1" applyBorder="1" applyAlignment="1">
      <alignment horizontal="right"/>
    </xf>
    <xf numFmtId="49" fontId="3" fillId="0" borderId="10" xfId="0" applyNumberFormat="1" applyFont="1" applyFill="1" applyBorder="1" applyAlignment="1">
      <alignment horizontal="center" vertical="top" wrapText="1"/>
    </xf>
    <xf numFmtId="172" fontId="3" fillId="0" borderId="9" xfId="0" applyNumberFormat="1" applyFont="1" applyFill="1" applyBorder="1" applyAlignment="1">
      <alignment horizontal="right"/>
    </xf>
    <xf numFmtId="49" fontId="1" fillId="0" borderId="10" xfId="0" applyNumberFormat="1" applyFont="1" applyFill="1" applyBorder="1" applyAlignment="1">
      <alignment horizontal="center" vertical="top"/>
    </xf>
    <xf numFmtId="172" fontId="1" fillId="0" borderId="9" xfId="0" applyNumberFormat="1" applyFont="1" applyFill="1" applyBorder="1" applyAlignment="1">
      <alignment horizontal="right"/>
    </xf>
    <xf numFmtId="49" fontId="1" fillId="0" borderId="12" xfId="0" applyNumberFormat="1" applyFont="1" applyFill="1" applyBorder="1" applyAlignment="1">
      <alignment horizontal="center" vertical="top"/>
    </xf>
    <xf numFmtId="172" fontId="1" fillId="0" borderId="13" xfId="0" applyNumberFormat="1" applyFont="1" applyFill="1" applyBorder="1" applyAlignment="1">
      <alignment horizontal="right"/>
    </xf>
    <xf numFmtId="49" fontId="1" fillId="0" borderId="14" xfId="0" applyNumberFormat="1" applyFont="1" applyFill="1" applyBorder="1" applyAlignment="1">
      <alignment horizontal="center" vertical="top"/>
    </xf>
    <xf numFmtId="49" fontId="4" fillId="0" borderId="3" xfId="0" applyNumberFormat="1" applyFont="1" applyFill="1" applyBorder="1" applyAlignment="1">
      <alignment horizontal="center" vertical="top"/>
    </xf>
    <xf numFmtId="0" fontId="4" fillId="0" borderId="3" xfId="0" applyNumberFormat="1" applyFont="1" applyFill="1" applyBorder="1" applyAlignment="1">
      <alignment horizontal="center" vertical="center"/>
    </xf>
    <xf numFmtId="0" fontId="4" fillId="0" borderId="3" xfId="0" applyFont="1" applyFill="1" applyBorder="1" applyAlignment="1">
      <alignment horizontal="center"/>
    </xf>
    <xf numFmtId="0" fontId="4" fillId="0" borderId="5" xfId="0" applyNumberFormat="1" applyFont="1" applyFill="1" applyBorder="1" applyAlignment="1">
      <alignment horizontal="left" vertical="center" wrapText="1"/>
    </xf>
    <xf numFmtId="0" fontId="1" fillId="0" borderId="5" xfId="0" applyFont="1" applyFill="1" applyBorder="1" applyAlignment="1">
      <alignment vertical="center" wrapText="1"/>
    </xf>
    <xf numFmtId="172" fontId="1" fillId="0" borderId="5" xfId="0" applyNumberFormat="1" applyFont="1" applyFill="1" applyBorder="1" applyAlignment="1">
      <alignment vertical="center"/>
    </xf>
    <xf numFmtId="172" fontId="1" fillId="0" borderId="5" xfId="0" applyNumberFormat="1" applyFont="1" applyFill="1" applyBorder="1" applyAlignment="1">
      <alignment/>
    </xf>
    <xf numFmtId="4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top"/>
    </xf>
    <xf numFmtId="0" fontId="3" fillId="0" borderId="16" xfId="0" applyNumberFormat="1" applyFont="1" applyFill="1" applyBorder="1" applyAlignment="1">
      <alignment horizontal="left" vertical="center" wrapText="1"/>
    </xf>
    <xf numFmtId="172" fontId="3" fillId="0" borderId="16" xfId="0" applyNumberFormat="1" applyFont="1" applyFill="1" applyBorder="1" applyAlignment="1">
      <alignment horizontal="right"/>
    </xf>
    <xf numFmtId="172" fontId="3" fillId="0" borderId="17" xfId="0" applyNumberFormat="1" applyFont="1" applyFill="1" applyBorder="1" applyAlignment="1">
      <alignment horizontal="right"/>
    </xf>
    <xf numFmtId="172" fontId="1" fillId="0" borderId="9" xfId="0" applyNumberFormat="1" applyFont="1" applyFill="1" applyBorder="1" applyAlignment="1">
      <alignment/>
    </xf>
    <xf numFmtId="172" fontId="3" fillId="0" borderId="9" xfId="0" applyNumberFormat="1" applyFont="1" applyFill="1" applyBorder="1" applyAlignment="1">
      <alignment/>
    </xf>
    <xf numFmtId="172" fontId="3" fillId="0" borderId="18" xfId="0" applyNumberFormat="1" applyFont="1" applyFill="1" applyBorder="1" applyAlignment="1">
      <alignment/>
    </xf>
    <xf numFmtId="172" fontId="3" fillId="0" borderId="19" xfId="0" applyNumberFormat="1" applyFont="1" applyFill="1" applyBorder="1" applyAlignment="1">
      <alignment/>
    </xf>
    <xf numFmtId="49" fontId="1" fillId="0" borderId="20" xfId="0" applyNumberFormat="1" applyFont="1" applyFill="1" applyBorder="1" applyAlignment="1">
      <alignment horizontal="center" vertical="top"/>
    </xf>
    <xf numFmtId="172" fontId="1" fillId="0" borderId="21" xfId="0" applyNumberFormat="1" applyFont="1" applyFill="1" applyBorder="1" applyAlignment="1">
      <alignment horizontal="right"/>
    </xf>
    <xf numFmtId="172" fontId="0" fillId="0" borderId="0" xfId="0" applyNumberFormat="1" applyFont="1" applyFill="1" applyBorder="1" applyAlignment="1">
      <alignment/>
    </xf>
    <xf numFmtId="172" fontId="0" fillId="0" borderId="0" xfId="0" applyNumberFormat="1" applyFont="1" applyFill="1" applyAlignment="1">
      <alignment/>
    </xf>
    <xf numFmtId="4" fontId="1" fillId="0" borderId="0" xfId="0" applyNumberFormat="1" applyFont="1" applyFill="1" applyAlignment="1">
      <alignment/>
    </xf>
    <xf numFmtId="49" fontId="1" fillId="0" borderId="14" xfId="0" applyNumberFormat="1" applyFont="1" applyFill="1" applyBorder="1" applyAlignment="1">
      <alignment horizontal="center" vertical="top" wrapText="1"/>
    </xf>
    <xf numFmtId="0" fontId="1" fillId="0" borderId="7"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172" fontId="3" fillId="0" borderId="22" xfId="0" applyNumberFormat="1" applyFont="1" applyFill="1" applyBorder="1" applyAlignment="1">
      <alignment horizontal="right"/>
    </xf>
    <xf numFmtId="172" fontId="3" fillId="0" borderId="23" xfId="0" applyNumberFormat="1" applyFont="1" applyFill="1" applyBorder="1" applyAlignment="1">
      <alignment horizontal="right"/>
    </xf>
    <xf numFmtId="0" fontId="1" fillId="0" borderId="0" xfId="0" applyFont="1" applyFill="1" applyBorder="1" applyAlignment="1">
      <alignment vertical="center"/>
    </xf>
    <xf numFmtId="3" fontId="3" fillId="0" borderId="0" xfId="0" applyNumberFormat="1" applyFont="1" applyFill="1" applyAlignment="1">
      <alignment horizontal="center"/>
    </xf>
    <xf numFmtId="172" fontId="3" fillId="0" borderId="0" xfId="0" applyNumberFormat="1" applyFont="1" applyFill="1" applyAlignment="1">
      <alignment horizontal="center"/>
    </xf>
    <xf numFmtId="0" fontId="2" fillId="0" borderId="0" xfId="0" applyFont="1" applyFill="1" applyAlignment="1">
      <alignment wrapText="1"/>
    </xf>
    <xf numFmtId="0" fontId="14" fillId="0" borderId="0" xfId="0" applyFont="1" applyFill="1" applyAlignment="1">
      <alignment horizontal="center"/>
    </xf>
    <xf numFmtId="0" fontId="3" fillId="0" borderId="0" xfId="0" applyFont="1" applyFill="1" applyAlignment="1">
      <alignment horizontal="center"/>
    </xf>
    <xf numFmtId="9" fontId="3" fillId="0" borderId="3" xfId="0" applyNumberFormat="1" applyFont="1" applyFill="1" applyBorder="1" applyAlignment="1">
      <alignment horizontal="center" vertical="center" wrapText="1"/>
    </xf>
    <xf numFmtId="9" fontId="3" fillId="0" borderId="24"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15" xfId="0" applyFont="1" applyFill="1" applyBorder="1" applyAlignment="1">
      <alignment horizontal="left" vertical="center" wrapText="1"/>
    </xf>
    <xf numFmtId="172" fontId="5" fillId="0" borderId="16" xfId="0" applyNumberFormat="1" applyFont="1" applyFill="1" applyBorder="1" applyAlignment="1">
      <alignment horizontal="center"/>
    </xf>
    <xf numFmtId="172" fontId="5" fillId="0" borderId="16" xfId="0" applyNumberFormat="1" applyFont="1" applyFill="1" applyBorder="1" applyAlignment="1" applyProtection="1">
      <alignment horizontal="center"/>
      <protection/>
    </xf>
    <xf numFmtId="172" fontId="15" fillId="0" borderId="16" xfId="0" applyNumberFormat="1" applyFont="1" applyFill="1" applyBorder="1" applyAlignment="1">
      <alignment horizontal="center"/>
    </xf>
    <xf numFmtId="172" fontId="2" fillId="0" borderId="17" xfId="0" applyNumberFormat="1" applyFont="1" applyFill="1" applyBorder="1" applyAlignment="1">
      <alignment horizontal="center"/>
    </xf>
    <xf numFmtId="0" fontId="4" fillId="0" borderId="0" xfId="0" applyFont="1" applyFill="1" applyAlignment="1">
      <alignment/>
    </xf>
    <xf numFmtId="173" fontId="15" fillId="0" borderId="0" xfId="0" applyNumberFormat="1" applyFont="1" applyFill="1" applyAlignment="1">
      <alignment horizontal="right"/>
    </xf>
    <xf numFmtId="0" fontId="4" fillId="0" borderId="10" xfId="0" applyFont="1" applyFill="1" applyBorder="1" applyAlignment="1">
      <alignment/>
    </xf>
    <xf numFmtId="172" fontId="5" fillId="0" borderId="5" xfId="0" applyNumberFormat="1" applyFont="1" applyFill="1" applyBorder="1" applyAlignment="1" applyProtection="1">
      <alignment horizontal="center"/>
      <protection/>
    </xf>
    <xf numFmtId="172" fontId="15" fillId="0" borderId="5" xfId="0" applyNumberFormat="1" applyFont="1" applyFill="1" applyBorder="1" applyAlignment="1">
      <alignment horizontal="center"/>
    </xf>
    <xf numFmtId="172" fontId="2" fillId="0" borderId="9" xfId="0" applyNumberFormat="1" applyFont="1" applyFill="1" applyBorder="1" applyAlignment="1">
      <alignment horizontal="center"/>
    </xf>
    <xf numFmtId="0" fontId="4" fillId="0" borderId="25" xfId="0" applyFont="1" applyFill="1" applyBorder="1" applyAlignment="1">
      <alignment/>
    </xf>
    <xf numFmtId="172" fontId="5" fillId="0" borderId="26" xfId="0" applyNumberFormat="1" applyFont="1" applyFill="1" applyBorder="1" applyAlignment="1">
      <alignment horizontal="center"/>
    </xf>
    <xf numFmtId="172" fontId="5" fillId="0" borderId="26" xfId="0" applyNumberFormat="1" applyFont="1" applyFill="1" applyBorder="1" applyAlignment="1" applyProtection="1">
      <alignment horizontal="center"/>
      <protection/>
    </xf>
    <xf numFmtId="172" fontId="15" fillId="0" borderId="26" xfId="0" applyNumberFormat="1" applyFont="1" applyFill="1" applyBorder="1" applyAlignment="1">
      <alignment horizontal="center"/>
    </xf>
    <xf numFmtId="172" fontId="2" fillId="0" borderId="27" xfId="0" applyNumberFormat="1" applyFont="1" applyFill="1" applyBorder="1" applyAlignment="1">
      <alignment horizontal="center"/>
    </xf>
    <xf numFmtId="0" fontId="9" fillId="0" borderId="2" xfId="0" applyFont="1" applyFill="1" applyBorder="1" applyAlignment="1">
      <alignment vertical="center"/>
    </xf>
    <xf numFmtId="172" fontId="9" fillId="0" borderId="2" xfId="0" applyNumberFormat="1" applyFont="1" applyFill="1" applyBorder="1" applyAlignment="1">
      <alignment horizontal="center"/>
    </xf>
    <xf numFmtId="172" fontId="9" fillId="0" borderId="2" xfId="0" applyNumberFormat="1" applyFont="1" applyFill="1" applyBorder="1" applyAlignment="1" applyProtection="1">
      <alignment horizontal="center"/>
      <protection/>
    </xf>
    <xf numFmtId="172" fontId="2" fillId="0" borderId="2" xfId="0" applyNumberFormat="1" applyFont="1" applyFill="1" applyBorder="1" applyAlignment="1">
      <alignment horizontal="center"/>
    </xf>
    <xf numFmtId="0" fontId="5" fillId="0" borderId="0" xfId="0" applyFont="1" applyFill="1" applyAlignment="1">
      <alignment/>
    </xf>
    <xf numFmtId="173" fontId="15" fillId="0" borderId="0" xfId="0" applyNumberFormat="1" applyFont="1" applyFill="1" applyAlignment="1">
      <alignment horizontal="center"/>
    </xf>
    <xf numFmtId="172" fontId="2" fillId="0" borderId="0" xfId="0" applyNumberFormat="1" applyFont="1" applyFill="1" applyAlignment="1">
      <alignment horizontal="center"/>
    </xf>
    <xf numFmtId="49" fontId="1" fillId="0" borderId="5" xfId="0" applyNumberFormat="1" applyFont="1" applyFill="1" applyBorder="1" applyAlignment="1">
      <alignment horizontal="center" vertical="top"/>
    </xf>
    <xf numFmtId="0" fontId="1" fillId="0" borderId="5" xfId="0" applyFont="1" applyFill="1" applyBorder="1" applyAlignment="1">
      <alignment vertical="top" wrapText="1"/>
    </xf>
    <xf numFmtId="172" fontId="1" fillId="0" borderId="13" xfId="0" applyNumberFormat="1" applyFont="1" applyFill="1" applyBorder="1" applyAlignment="1">
      <alignment/>
    </xf>
    <xf numFmtId="49" fontId="3" fillId="0" borderId="28" xfId="0" applyNumberFormat="1" applyFont="1" applyFill="1" applyBorder="1" applyAlignment="1">
      <alignment horizontal="center" vertical="top"/>
    </xf>
    <xf numFmtId="0" fontId="3" fillId="0" borderId="29" xfId="0" applyFont="1" applyFill="1" applyBorder="1" applyAlignment="1">
      <alignment horizontal="left" wrapText="1"/>
    </xf>
    <xf numFmtId="172" fontId="3" fillId="0" borderId="29" xfId="0" applyNumberFormat="1" applyFont="1" applyFill="1" applyBorder="1" applyAlignment="1">
      <alignment horizontal="right"/>
    </xf>
    <xf numFmtId="172" fontId="3" fillId="0" borderId="30" xfId="0" applyNumberFormat="1" applyFont="1" applyFill="1" applyBorder="1" applyAlignment="1">
      <alignment horizontal="right"/>
    </xf>
    <xf numFmtId="0" fontId="1" fillId="0" borderId="0" xfId="0" applyFont="1" applyFill="1" applyBorder="1" applyAlignment="1">
      <alignment vertical="top" wrapText="1"/>
    </xf>
    <xf numFmtId="0" fontId="1" fillId="0" borderId="5" xfId="0" applyFont="1" applyFill="1" applyBorder="1" applyAlignment="1">
      <alignment horizontal="justify"/>
    </xf>
    <xf numFmtId="172" fontId="1" fillId="0" borderId="31" xfId="0" applyNumberFormat="1" applyFont="1" applyFill="1" applyBorder="1" applyAlignment="1">
      <alignment horizontal="right"/>
    </xf>
    <xf numFmtId="0" fontId="1" fillId="0" borderId="6" xfId="0" applyFont="1" applyFill="1" applyBorder="1" applyAlignment="1">
      <alignment vertical="top" wrapText="1"/>
    </xf>
    <xf numFmtId="0" fontId="3" fillId="0" borderId="5" xfId="0" applyFont="1" applyFill="1" applyBorder="1" applyAlignment="1">
      <alignment vertical="top"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4" xfId="0" applyFont="1" applyFill="1" applyBorder="1" applyAlignment="1">
      <alignment horizontal="center" vertical="center"/>
    </xf>
    <xf numFmtId="0" fontId="1" fillId="0" borderId="0" xfId="0" applyFont="1" applyFill="1" applyBorder="1" applyAlignment="1">
      <alignment horizontal="center" wrapText="1"/>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wrapText="1" shrinkToFit="1"/>
    </xf>
    <xf numFmtId="0" fontId="1" fillId="0" borderId="4" xfId="0" applyFont="1" applyFill="1" applyBorder="1" applyAlignment="1">
      <alignment horizontal="center"/>
    </xf>
    <xf numFmtId="172" fontId="1" fillId="0" borderId="5" xfId="0" applyNumberFormat="1" applyFont="1" applyFill="1" applyBorder="1" applyAlignment="1">
      <alignment horizontal="center"/>
    </xf>
    <xf numFmtId="172" fontId="1" fillId="0" borderId="9" xfId="0" applyNumberFormat="1" applyFont="1" applyFill="1" applyBorder="1" applyAlignment="1">
      <alignment horizontal="center"/>
    </xf>
    <xf numFmtId="172" fontId="10" fillId="0" borderId="5" xfId="0" applyNumberFormat="1" applyFont="1" applyFill="1" applyBorder="1" applyAlignment="1">
      <alignment horizontal="center"/>
    </xf>
    <xf numFmtId="0" fontId="1" fillId="0" borderId="5" xfId="0" applyFont="1" applyFill="1" applyBorder="1" applyAlignment="1">
      <alignment wrapText="1" shrinkToFit="1"/>
    </xf>
    <xf numFmtId="172" fontId="1" fillId="0" borderId="5" xfId="0" applyNumberFormat="1" applyFont="1" applyFill="1" applyBorder="1" applyAlignment="1">
      <alignment horizontal="center" vertical="center"/>
    </xf>
    <xf numFmtId="172" fontId="1" fillId="0" borderId="9" xfId="0" applyNumberFormat="1" applyFont="1" applyFill="1" applyBorder="1" applyAlignment="1">
      <alignment horizontal="center" vertical="center"/>
    </xf>
    <xf numFmtId="172" fontId="11" fillId="0" borderId="5" xfId="0" applyNumberFormat="1" applyFont="1" applyFill="1" applyBorder="1" applyAlignment="1">
      <alignment horizontal="center"/>
    </xf>
    <xf numFmtId="0" fontId="1" fillId="0" borderId="7" xfId="0" applyFont="1" applyFill="1" applyBorder="1" applyAlignment="1">
      <alignment horizontal="left" wrapText="1" shrinkToFit="1"/>
    </xf>
    <xf numFmtId="172" fontId="1" fillId="0" borderId="7" xfId="0" applyNumberFormat="1" applyFont="1" applyFill="1" applyBorder="1" applyAlignment="1">
      <alignment horizontal="center"/>
    </xf>
    <xf numFmtId="172" fontId="10" fillId="0" borderId="7" xfId="0" applyNumberFormat="1" applyFont="1" applyFill="1" applyBorder="1" applyAlignment="1">
      <alignment horizontal="center"/>
    </xf>
    <xf numFmtId="172" fontId="1" fillId="0" borderId="13" xfId="0" applyNumberFormat="1" applyFont="1" applyFill="1" applyBorder="1" applyAlignment="1">
      <alignment horizontal="center"/>
    </xf>
    <xf numFmtId="172" fontId="11" fillId="0" borderId="18" xfId="0" applyNumberFormat="1" applyFont="1" applyFill="1" applyBorder="1" applyAlignment="1">
      <alignment horizontal="center"/>
    </xf>
    <xf numFmtId="172" fontId="3" fillId="0" borderId="18" xfId="0" applyNumberFormat="1" applyFont="1" applyFill="1" applyBorder="1" applyAlignment="1">
      <alignment horizontal="center"/>
    </xf>
    <xf numFmtId="172" fontId="3" fillId="0" borderId="19" xfId="0" applyNumberFormat="1" applyFont="1" applyFill="1" applyBorder="1" applyAlignment="1">
      <alignment horizontal="center"/>
    </xf>
    <xf numFmtId="49" fontId="3" fillId="0" borderId="34" xfId="0" applyNumberFormat="1" applyFont="1" applyFill="1" applyBorder="1" applyAlignment="1">
      <alignment horizontal="center" vertical="top"/>
    </xf>
    <xf numFmtId="0" fontId="3" fillId="0" borderId="0" xfId="0" applyFont="1" applyFill="1" applyBorder="1" applyAlignment="1">
      <alignment horizontal="left" wrapText="1" shrinkToFit="1"/>
    </xf>
    <xf numFmtId="172" fontId="11" fillId="0" borderId="0"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35" xfId="0" applyNumberFormat="1" applyFont="1" applyFill="1" applyBorder="1" applyAlignment="1">
      <alignment horizontal="center"/>
    </xf>
    <xf numFmtId="49" fontId="3" fillId="0" borderId="36" xfId="0" applyNumberFormat="1" applyFont="1" applyFill="1" applyBorder="1" applyAlignment="1">
      <alignment horizontal="center" vertical="top"/>
    </xf>
    <xf numFmtId="0" fontId="3" fillId="0" borderId="18" xfId="0" applyFont="1" applyFill="1" applyBorder="1" applyAlignment="1">
      <alignment horizontal="left" wrapText="1" shrinkToFit="1"/>
    </xf>
    <xf numFmtId="49" fontId="1" fillId="0" borderId="11" xfId="0" applyNumberFormat="1" applyFont="1" applyFill="1" applyBorder="1" applyAlignment="1">
      <alignment horizontal="center" vertical="top"/>
    </xf>
    <xf numFmtId="172" fontId="1" fillId="0" borderId="6" xfId="0" applyNumberFormat="1" applyFont="1" applyFill="1" applyBorder="1" applyAlignment="1">
      <alignment horizontal="center"/>
    </xf>
    <xf numFmtId="172" fontId="1" fillId="0" borderId="8" xfId="0" applyNumberFormat="1" applyFont="1" applyFill="1" applyBorder="1" applyAlignment="1">
      <alignment horizontal="center"/>
    </xf>
    <xf numFmtId="0" fontId="10" fillId="0" borderId="0" xfId="0" applyFont="1" applyFill="1" applyAlignment="1">
      <alignment wrapText="1"/>
    </xf>
    <xf numFmtId="0" fontId="1" fillId="0" borderId="5" xfId="0" applyFont="1" applyFill="1" applyBorder="1" applyAlignment="1">
      <alignment horizontal="justify" vertical="top" wrapText="1"/>
    </xf>
    <xf numFmtId="0" fontId="1" fillId="0" borderId="7" xfId="0" applyFont="1" applyFill="1" applyBorder="1" applyAlignment="1">
      <alignment vertical="top" wrapText="1"/>
    </xf>
    <xf numFmtId="49" fontId="3" fillId="0" borderId="12" xfId="0" applyNumberFormat="1" applyFont="1" applyFill="1" applyBorder="1" applyAlignment="1">
      <alignment horizontal="center" vertical="top"/>
    </xf>
    <xf numFmtId="0" fontId="3" fillId="0" borderId="7" xfId="0" applyFont="1" applyFill="1" applyBorder="1" applyAlignment="1">
      <alignment horizontal="left" vertical="top" wrapText="1" shrinkToFit="1"/>
    </xf>
    <xf numFmtId="172" fontId="3" fillId="0" borderId="7" xfId="0" applyNumberFormat="1" applyFont="1" applyFill="1" applyBorder="1" applyAlignment="1">
      <alignment horizontal="center"/>
    </xf>
    <xf numFmtId="172" fontId="3" fillId="0" borderId="13" xfId="0" applyNumberFormat="1" applyFont="1" applyFill="1" applyBorder="1" applyAlignment="1">
      <alignment horizontal="center"/>
    </xf>
    <xf numFmtId="173" fontId="4" fillId="0" borderId="0" xfId="0" applyNumberFormat="1" applyFont="1" applyFill="1" applyAlignment="1">
      <alignment horizontal="center"/>
    </xf>
    <xf numFmtId="172" fontId="4" fillId="0" borderId="0" xfId="0" applyNumberFormat="1" applyFont="1" applyFill="1" applyAlignment="1">
      <alignment horizontal="center"/>
    </xf>
    <xf numFmtId="0" fontId="1" fillId="0" borderId="0" xfId="0" applyFont="1" applyAlignment="1">
      <alignment/>
    </xf>
    <xf numFmtId="0" fontId="3" fillId="0" borderId="0" xfId="0" applyFont="1" applyAlignment="1">
      <alignment horizontal="center" wrapText="1"/>
    </xf>
    <xf numFmtId="0" fontId="3" fillId="0" borderId="7" xfId="0"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0" fontId="3" fillId="0" borderId="10" xfId="0" applyFont="1" applyBorder="1" applyAlignment="1">
      <alignment vertical="center"/>
    </xf>
    <xf numFmtId="0" fontId="3" fillId="0" borderId="31" xfId="0" applyFont="1" applyBorder="1" applyAlignment="1">
      <alignment vertical="center" wrapText="1" shrinkToFit="1"/>
    </xf>
    <xf numFmtId="172" fontId="3" fillId="0" borderId="5" xfId="0" applyNumberFormat="1" applyFont="1" applyFill="1" applyBorder="1" applyAlignment="1">
      <alignment horizontal="center" vertical="center"/>
    </xf>
    <xf numFmtId="0" fontId="3" fillId="0" borderId="10" xfId="0" applyFont="1" applyBorder="1" applyAlignment="1">
      <alignment/>
    </xf>
    <xf numFmtId="0" fontId="3" fillId="0" borderId="31" xfId="0" applyFont="1" applyBorder="1" applyAlignment="1">
      <alignment/>
    </xf>
    <xf numFmtId="172" fontId="3" fillId="0" borderId="36" xfId="0" applyNumberFormat="1" applyFont="1" applyBorder="1" applyAlignment="1">
      <alignment horizontal="center"/>
    </xf>
    <xf numFmtId="0" fontId="1" fillId="0" borderId="0" xfId="0" applyFont="1" applyAlignment="1">
      <alignment wrapText="1"/>
    </xf>
    <xf numFmtId="0" fontId="14" fillId="0" borderId="0" xfId="0" applyFont="1" applyAlignment="1">
      <alignment/>
    </xf>
    <xf numFmtId="0" fontId="17" fillId="0" borderId="0" xfId="0" applyFont="1" applyAlignment="1">
      <alignment horizontal="center"/>
    </xf>
    <xf numFmtId="0" fontId="14" fillId="0" borderId="0" xfId="0" applyFont="1" applyAlignment="1">
      <alignment shrinkToFit="1"/>
    </xf>
    <xf numFmtId="0" fontId="17" fillId="0" borderId="0" xfId="0" applyFont="1" applyAlignment="1">
      <alignment horizontal="center" shrinkToFit="1"/>
    </xf>
    <xf numFmtId="0" fontId="2" fillId="0" borderId="0" xfId="0" applyFont="1" applyAlignment="1">
      <alignment horizontal="center" wrapText="1"/>
    </xf>
    <xf numFmtId="0" fontId="18" fillId="0" borderId="0" xfId="0" applyFont="1" applyAlignment="1">
      <alignment/>
    </xf>
    <xf numFmtId="0" fontId="2" fillId="0" borderId="2"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9" fillId="0" borderId="3" xfId="0" applyFont="1" applyBorder="1" applyAlignment="1">
      <alignment horizontal="center" vertical="center" wrapText="1"/>
    </xf>
    <xf numFmtId="3" fontId="9" fillId="0" borderId="3" xfId="0" applyNumberFormat="1"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Alignment="1">
      <alignment vertical="center" wrapText="1"/>
    </xf>
    <xf numFmtId="0" fontId="5" fillId="0" borderId="16" xfId="0" applyFont="1" applyBorder="1" applyAlignment="1">
      <alignment horizontal="left" vertical="center" wrapText="1" shrinkToFit="1"/>
    </xf>
    <xf numFmtId="0" fontId="5" fillId="0" borderId="16" xfId="0" applyFont="1" applyFill="1" applyBorder="1" applyAlignment="1">
      <alignment horizontal="center" vertical="center" wrapText="1" shrinkToFit="1"/>
    </xf>
    <xf numFmtId="0" fontId="5" fillId="0" borderId="16" xfId="0" applyFont="1" applyBorder="1" applyAlignment="1">
      <alignment horizontal="center" vertical="center" wrapText="1" shrinkToFit="1"/>
    </xf>
    <xf numFmtId="0" fontId="3" fillId="0" borderId="0" xfId="0" applyFont="1" applyBorder="1" applyAlignment="1">
      <alignment vertical="top" wrapText="1"/>
    </xf>
    <xf numFmtId="0" fontId="5" fillId="0" borderId="5" xfId="0" applyFont="1" applyBorder="1" applyAlignment="1">
      <alignment horizontal="left" vertical="top" wrapText="1" shrinkToFit="1"/>
    </xf>
    <xf numFmtId="0" fontId="5" fillId="0" borderId="5" xfId="0" applyFont="1" applyFill="1" applyBorder="1" applyAlignment="1">
      <alignment horizontal="center" vertical="top" wrapText="1" shrinkToFit="1"/>
    </xf>
    <xf numFmtId="0" fontId="5" fillId="0" borderId="5" xfId="0" applyFont="1" applyBorder="1" applyAlignment="1">
      <alignment horizontal="center" vertical="top" wrapText="1" shrinkToFit="1"/>
    </xf>
    <xf numFmtId="0" fontId="19" fillId="0" borderId="5" xfId="0" applyFont="1" applyBorder="1" applyAlignment="1">
      <alignment horizontal="center" vertical="top" wrapText="1"/>
    </xf>
    <xf numFmtId="0" fontId="20" fillId="0" borderId="0" xfId="0" applyFont="1" applyBorder="1" applyAlignment="1">
      <alignment vertical="top" wrapText="1"/>
    </xf>
    <xf numFmtId="0" fontId="5" fillId="0" borderId="5" xfId="0" applyFont="1" applyBorder="1" applyAlignment="1">
      <alignment horizontal="center" vertical="center" wrapText="1" shrinkToFit="1"/>
    </xf>
    <xf numFmtId="0" fontId="1" fillId="0" borderId="0" xfId="0" applyFont="1" applyBorder="1" applyAlignment="1">
      <alignment vertical="top" wrapText="1"/>
    </xf>
    <xf numFmtId="0" fontId="5" fillId="0" borderId="5" xfId="0" applyFont="1" applyFill="1" applyBorder="1" applyAlignment="1">
      <alignment horizontal="center" vertical="center" wrapText="1" shrinkToFit="1"/>
    </xf>
    <xf numFmtId="0" fontId="5" fillId="0" borderId="5" xfId="0" applyFont="1" applyBorder="1" applyAlignment="1">
      <alignment horizontal="left" vertical="top" wrapText="1"/>
    </xf>
    <xf numFmtId="0" fontId="5" fillId="0" borderId="5" xfId="0" applyFont="1" applyBorder="1" applyAlignment="1">
      <alignment horizontal="center" vertical="center" wrapText="1"/>
    </xf>
    <xf numFmtId="1" fontId="5" fillId="0" borderId="5" xfId="0" applyNumberFormat="1" applyFont="1" applyBorder="1" applyAlignment="1">
      <alignment horizontal="center" vertical="center" wrapText="1"/>
    </xf>
    <xf numFmtId="0" fontId="5" fillId="0" borderId="7" xfId="0" applyFont="1" applyBorder="1" applyAlignment="1">
      <alignment horizontal="left" vertical="top" wrapText="1"/>
    </xf>
    <xf numFmtId="0" fontId="5" fillId="0" borderId="26" xfId="0" applyFont="1" applyFill="1" applyBorder="1" applyAlignment="1">
      <alignment horizontal="center" vertical="center" wrapText="1" shrinkToFit="1"/>
    </xf>
    <xf numFmtId="0" fontId="5" fillId="0" borderId="7" xfId="0" applyFont="1" applyBorder="1" applyAlignment="1">
      <alignment horizontal="center" vertical="center" wrapText="1"/>
    </xf>
    <xf numFmtId="0" fontId="5" fillId="0" borderId="7" xfId="0" applyFont="1" applyBorder="1" applyAlignment="1">
      <alignment horizontal="center" vertical="center" wrapText="1" shrinkToFit="1"/>
    </xf>
    <xf numFmtId="172" fontId="2" fillId="0" borderId="18" xfId="0" applyNumberFormat="1" applyFont="1" applyBorder="1" applyAlignment="1">
      <alignment horizontal="center" vertical="center" wrapText="1" shrinkToFit="1"/>
    </xf>
    <xf numFmtId="0" fontId="15" fillId="0" borderId="18" xfId="0" applyFont="1" applyBorder="1" applyAlignment="1">
      <alignment horizontal="center" vertical="center" wrapText="1" shrinkToFit="1"/>
    </xf>
    <xf numFmtId="173" fontId="15" fillId="0" borderId="0" xfId="0" applyNumberFormat="1" applyFont="1" applyBorder="1" applyAlignment="1">
      <alignment vertical="top" wrapText="1"/>
    </xf>
    <xf numFmtId="0" fontId="15" fillId="0" borderId="0" xfId="0" applyFont="1" applyBorder="1" applyAlignment="1">
      <alignment vertical="top" wrapText="1"/>
    </xf>
    <xf numFmtId="0" fontId="1" fillId="0" borderId="6" xfId="0" applyFont="1" applyBorder="1" applyAlignment="1">
      <alignment vertical="top" wrapText="1" shrinkToFit="1"/>
    </xf>
    <xf numFmtId="0" fontId="1" fillId="0" borderId="6" xfId="0" applyFont="1" applyBorder="1" applyAlignment="1">
      <alignment horizontal="center" vertical="top" wrapText="1" shrinkToFit="1"/>
    </xf>
    <xf numFmtId="0" fontId="1" fillId="0" borderId="6" xfId="0" applyFont="1" applyBorder="1" applyAlignment="1">
      <alignment horizontal="left" vertical="top" wrapText="1" shrinkToFit="1"/>
    </xf>
    <xf numFmtId="0" fontId="1" fillId="0" borderId="0" xfId="0" applyFont="1" applyBorder="1" applyAlignment="1">
      <alignment vertical="top" wrapText="1" shrinkToFit="1"/>
    </xf>
    <xf numFmtId="0" fontId="1" fillId="0" borderId="5" xfId="0" applyFont="1" applyBorder="1" applyAlignment="1">
      <alignment horizontal="center" vertical="top" wrapText="1" shrinkToFit="1"/>
    </xf>
    <xf numFmtId="0" fontId="1" fillId="0" borderId="5" xfId="0" applyFont="1" applyBorder="1" applyAlignment="1">
      <alignment vertical="top" wrapText="1" shrinkToFit="1"/>
    </xf>
    <xf numFmtId="0" fontId="1" fillId="0" borderId="7" xfId="0" applyFont="1" applyBorder="1" applyAlignment="1">
      <alignment vertical="top" wrapText="1" shrinkToFit="1"/>
    </xf>
    <xf numFmtId="0" fontId="1" fillId="0" borderId="7" xfId="0" applyFont="1" applyBorder="1" applyAlignment="1">
      <alignment horizontal="center" vertical="top" wrapText="1" shrinkToFit="1"/>
    </xf>
    <xf numFmtId="0" fontId="2" fillId="0" borderId="18" xfId="0" applyFont="1" applyBorder="1" applyAlignment="1">
      <alignment horizontal="center" vertical="top" wrapText="1" shrinkToFit="1"/>
    </xf>
    <xf numFmtId="0" fontId="15" fillId="0" borderId="0" xfId="0" applyFont="1" applyBorder="1" applyAlignment="1">
      <alignment vertical="top" wrapText="1" shrinkToFit="1"/>
    </xf>
    <xf numFmtId="0" fontId="2" fillId="0" borderId="18" xfId="0" applyFont="1" applyBorder="1" applyAlignment="1">
      <alignment vertical="top" wrapText="1" shrinkToFit="1"/>
    </xf>
    <xf numFmtId="0" fontId="2" fillId="0" borderId="0" xfId="0" applyFont="1" applyBorder="1" applyAlignment="1">
      <alignment vertical="top" wrapText="1" shrinkToFit="1"/>
    </xf>
    <xf numFmtId="0" fontId="15" fillId="0" borderId="18" xfId="0" applyFont="1" applyBorder="1" applyAlignment="1">
      <alignment horizontal="center" vertical="top" wrapText="1" shrinkToFit="1"/>
    </xf>
    <xf numFmtId="0" fontId="2" fillId="0" borderId="22" xfId="0" applyFont="1" applyBorder="1" applyAlignment="1">
      <alignment wrapText="1"/>
    </xf>
    <xf numFmtId="0" fontId="2" fillId="0" borderId="22" xfId="0" applyFont="1" applyBorder="1" applyAlignment="1">
      <alignment horizontal="center" vertical="center" wrapText="1"/>
    </xf>
    <xf numFmtId="0" fontId="2" fillId="0" borderId="0" xfId="0" applyFont="1" applyAlignment="1">
      <alignment wrapText="1"/>
    </xf>
    <xf numFmtId="0" fontId="1" fillId="0" borderId="0" xfId="0" applyFont="1" applyAlignment="1">
      <alignment horizontal="center" vertical="center" wrapText="1"/>
    </xf>
    <xf numFmtId="173" fontId="1" fillId="0" borderId="0" xfId="0" applyNumberFormat="1" applyFont="1" applyAlignment="1">
      <alignment wrapText="1"/>
    </xf>
    <xf numFmtId="0" fontId="6" fillId="0" borderId="0" xfId="0" applyFont="1" applyFill="1" applyBorder="1" applyAlignment="1">
      <alignment/>
    </xf>
    <xf numFmtId="0" fontId="0" fillId="0" borderId="0" xfId="0" applyFont="1" applyFill="1" applyBorder="1" applyAlignment="1">
      <alignment/>
    </xf>
    <xf numFmtId="0" fontId="9" fillId="0" borderId="4" xfId="0" applyFont="1" applyBorder="1" applyAlignment="1">
      <alignment horizontal="center" vertical="center" wrapText="1"/>
    </xf>
    <xf numFmtId="0" fontId="5" fillId="0" borderId="39" xfId="0" applyFont="1" applyBorder="1" applyAlignment="1">
      <alignment horizontal="left" vertical="center" wrapText="1" shrinkToFit="1"/>
    </xf>
    <xf numFmtId="0" fontId="5" fillId="0" borderId="31" xfId="0" applyFont="1" applyBorder="1" applyAlignment="1">
      <alignment horizontal="left" vertical="top" wrapText="1" shrinkToFit="1"/>
    </xf>
    <xf numFmtId="0" fontId="19" fillId="0" borderId="31" xfId="0" applyFont="1" applyBorder="1" applyAlignment="1">
      <alignment horizontal="left" vertical="top" wrapText="1"/>
    </xf>
    <xf numFmtId="0" fontId="5" fillId="0" borderId="31" xfId="0" applyFont="1" applyBorder="1" applyAlignment="1">
      <alignment horizontal="left" vertical="top" wrapText="1"/>
    </xf>
    <xf numFmtId="0" fontId="5" fillId="0" borderId="40" xfId="0" applyFont="1" applyBorder="1" applyAlignment="1">
      <alignment horizontal="left" vertical="top" wrapText="1"/>
    </xf>
    <xf numFmtId="0" fontId="15" fillId="0" borderId="4" xfId="0" applyFont="1" applyBorder="1" applyAlignment="1">
      <alignment vertical="top" wrapText="1"/>
    </xf>
    <xf numFmtId="0" fontId="1" fillId="0" borderId="31" xfId="0" applyFont="1" applyBorder="1" applyAlignment="1">
      <alignment vertical="top" wrapText="1" shrinkToFit="1"/>
    </xf>
    <xf numFmtId="0" fontId="1" fillId="0" borderId="41" xfId="0" applyFont="1" applyBorder="1" applyAlignment="1">
      <alignment horizontal="left" vertical="top" wrapText="1" shrinkToFit="1"/>
    </xf>
    <xf numFmtId="0" fontId="1" fillId="0" borderId="40" xfId="0" applyFont="1" applyBorder="1" applyAlignment="1">
      <alignment vertical="top" wrapText="1" shrinkToFit="1"/>
    </xf>
    <xf numFmtId="0" fontId="2" fillId="0" borderId="4" xfId="0" applyFont="1" applyBorder="1" applyAlignment="1">
      <alignment vertical="top" wrapText="1" shrinkToFit="1"/>
    </xf>
    <xf numFmtId="0" fontId="1" fillId="0" borderId="4" xfId="0" applyFont="1" applyBorder="1" applyAlignment="1">
      <alignment vertical="top" wrapText="1" shrinkToFit="1"/>
    </xf>
    <xf numFmtId="0" fontId="15" fillId="0" borderId="4" xfId="0" applyFont="1" applyBorder="1" applyAlignment="1">
      <alignment vertical="top" wrapText="1" shrinkToFit="1"/>
    </xf>
    <xf numFmtId="0" fontId="1" fillId="0" borderId="42" xfId="0" applyFont="1" applyBorder="1" applyAlignment="1">
      <alignment horizontal="left" vertical="top" wrapText="1" shrinkToFit="1"/>
    </xf>
    <xf numFmtId="0" fontId="1" fillId="0" borderId="43" xfId="0" applyFont="1" applyBorder="1" applyAlignment="1">
      <alignment horizontal="left" vertical="top" wrapText="1" shrinkToFit="1"/>
    </xf>
    <xf numFmtId="0" fontId="2" fillId="0" borderId="18" xfId="0" applyFont="1" applyBorder="1" applyAlignment="1">
      <alignment horizontal="center" vertical="center" wrapText="1" shrinkToFit="1"/>
    </xf>
    <xf numFmtId="172" fontId="15" fillId="0" borderId="16" xfId="0" applyNumberFormat="1" applyFont="1" applyBorder="1" applyAlignment="1">
      <alignment horizontal="center" vertical="center" wrapText="1" shrinkToFit="1"/>
    </xf>
    <xf numFmtId="172" fontId="2" fillId="0" borderId="16"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172" fontId="15" fillId="0" borderId="5" xfId="0" applyNumberFormat="1" applyFont="1" applyBorder="1" applyAlignment="1">
      <alignment horizontal="center" vertical="center" wrapText="1" shrinkToFit="1"/>
    </xf>
    <xf numFmtId="172" fontId="2" fillId="0" borderId="5" xfId="0" applyNumberFormat="1" applyFont="1" applyBorder="1" applyAlignment="1">
      <alignment horizontal="center" vertical="center" wrapText="1"/>
    </xf>
    <xf numFmtId="172" fontId="2" fillId="0" borderId="9" xfId="0" applyNumberFormat="1" applyFont="1" applyBorder="1" applyAlignment="1">
      <alignment horizontal="center" vertical="center" wrapText="1"/>
    </xf>
    <xf numFmtId="172" fontId="21" fillId="0" borderId="5" xfId="0" applyNumberFormat="1" applyFont="1" applyBorder="1" applyAlignment="1">
      <alignment horizontal="center" vertical="center" wrapText="1"/>
    </xf>
    <xf numFmtId="172" fontId="21" fillId="0" borderId="9" xfId="0" applyNumberFormat="1" applyFont="1" applyBorder="1" applyAlignment="1">
      <alignment horizontal="center" vertical="center" wrapText="1"/>
    </xf>
    <xf numFmtId="172" fontId="2" fillId="0" borderId="9" xfId="0" applyNumberFormat="1" applyFont="1" applyBorder="1" applyAlignment="1">
      <alignment horizontal="center" vertical="center" wrapText="1" shrinkToFit="1"/>
    </xf>
    <xf numFmtId="172" fontId="15" fillId="0" borderId="5" xfId="0" applyNumberFormat="1" applyFont="1" applyBorder="1" applyAlignment="1">
      <alignment horizontal="center" vertical="center" wrapText="1"/>
    </xf>
    <xf numFmtId="172" fontId="15" fillId="0" borderId="7" xfId="0" applyNumberFormat="1" applyFont="1" applyBorder="1" applyAlignment="1">
      <alignment horizontal="center" vertical="center" wrapText="1"/>
    </xf>
    <xf numFmtId="172" fontId="2" fillId="0" borderId="7" xfId="0" applyNumberFormat="1" applyFont="1" applyBorder="1" applyAlignment="1">
      <alignment horizontal="center" vertical="center" wrapText="1"/>
    </xf>
    <xf numFmtId="172" fontId="2" fillId="0" borderId="13" xfId="0" applyNumberFormat="1" applyFont="1" applyBorder="1" applyAlignment="1">
      <alignment horizontal="center" vertical="center" wrapText="1"/>
    </xf>
    <xf numFmtId="172" fontId="2" fillId="0" borderId="19" xfId="0" applyNumberFormat="1" applyFont="1" applyBorder="1" applyAlignment="1">
      <alignment horizontal="center" vertical="center" wrapText="1" shrinkToFit="1"/>
    </xf>
    <xf numFmtId="0" fontId="1" fillId="0" borderId="6" xfId="0" applyFont="1" applyBorder="1" applyAlignment="1">
      <alignment horizontal="left" vertical="center" wrapText="1" shrinkToFit="1"/>
    </xf>
    <xf numFmtId="0" fontId="1" fillId="0" borderId="6" xfId="0" applyFont="1" applyBorder="1" applyAlignment="1">
      <alignment horizontal="center" vertical="center" wrapText="1" shrinkToFit="1"/>
    </xf>
    <xf numFmtId="173" fontId="15" fillId="0" borderId="6" xfId="0" applyNumberFormat="1"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173" fontId="15" fillId="0" borderId="5" xfId="0" applyNumberFormat="1" applyFont="1" applyBorder="1" applyAlignment="1">
      <alignment horizontal="center" vertical="center" wrapText="1" shrinkToFit="1"/>
    </xf>
    <xf numFmtId="172" fontId="15" fillId="0" borderId="6" xfId="0" applyNumberFormat="1" applyFont="1" applyBorder="1" applyAlignment="1">
      <alignment horizontal="center" vertical="center" wrapText="1" shrinkToFit="1"/>
    </xf>
    <xf numFmtId="172" fontId="15" fillId="0" borderId="7" xfId="0" applyNumberFormat="1" applyFont="1" applyBorder="1" applyAlignment="1">
      <alignment horizontal="center" vertical="center" wrapText="1" shrinkToFit="1"/>
    </xf>
    <xf numFmtId="172" fontId="2" fillId="0" borderId="22" xfId="0" applyNumberFormat="1" applyFont="1" applyBorder="1" applyAlignment="1">
      <alignment horizontal="center" vertical="center" wrapText="1"/>
    </xf>
    <xf numFmtId="0" fontId="2" fillId="0" borderId="4" xfId="0" applyFont="1" applyBorder="1" applyAlignment="1">
      <alignment wrapText="1"/>
    </xf>
    <xf numFmtId="0" fontId="3" fillId="0" borderId="11" xfId="0" applyFont="1" applyBorder="1" applyAlignment="1">
      <alignment horizontal="center" vertical="center" wrapText="1"/>
    </xf>
    <xf numFmtId="0" fontId="3" fillId="0" borderId="10" xfId="0" applyFont="1" applyBorder="1" applyAlignment="1">
      <alignment vertical="top" wrapText="1"/>
    </xf>
    <xf numFmtId="0" fontId="20" fillId="0" borderId="10" xfId="0" applyFont="1" applyBorder="1" applyAlignment="1">
      <alignment vertical="top" wrapText="1"/>
    </xf>
    <xf numFmtId="0" fontId="3" fillId="0" borderId="10" xfId="0" applyFont="1" applyBorder="1" applyAlignment="1">
      <alignment horizontal="center" vertical="center" wrapText="1"/>
    </xf>
    <xf numFmtId="0" fontId="15" fillId="0" borderId="10" xfId="0" applyFont="1" applyBorder="1" applyAlignment="1">
      <alignment vertical="top" wrapText="1"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1" fillId="0" borderId="5" xfId="0" applyFont="1" applyBorder="1" applyAlignment="1">
      <alignment horizontal="left" vertical="top" wrapText="1" shrinkToFit="1"/>
    </xf>
    <xf numFmtId="0" fontId="1" fillId="0" borderId="5" xfId="0" applyFont="1" applyFill="1" applyBorder="1" applyAlignment="1">
      <alignment horizontal="center" vertical="top" wrapText="1" shrinkToFit="1"/>
    </xf>
    <xf numFmtId="172" fontId="15" fillId="0" borderId="5" xfId="0" applyNumberFormat="1" applyFont="1" applyFill="1" applyBorder="1" applyAlignment="1">
      <alignment horizontal="center" vertical="center" wrapText="1" shrinkToFit="1"/>
    </xf>
    <xf numFmtId="172" fontId="15" fillId="0" borderId="6" xfId="0" applyNumberFormat="1" applyFont="1" applyFill="1" applyBorder="1" applyAlignment="1">
      <alignment horizontal="center" vertical="center" wrapText="1" shrinkToFit="1"/>
    </xf>
    <xf numFmtId="0" fontId="1" fillId="0" borderId="41" xfId="0" applyFont="1" applyFill="1" applyBorder="1" applyAlignment="1">
      <alignment vertical="top" wrapText="1" shrinkToFit="1"/>
    </xf>
    <xf numFmtId="0" fontId="1" fillId="0" borderId="31" xfId="0" applyFont="1" applyFill="1" applyBorder="1" applyAlignment="1">
      <alignment vertical="top" wrapText="1" shrinkToFit="1"/>
    </xf>
    <xf numFmtId="0" fontId="1" fillId="0" borderId="31" xfId="0" applyFont="1" applyFill="1" applyBorder="1" applyAlignment="1">
      <alignment horizontal="left" vertical="top" wrapText="1" shrinkToFit="1"/>
    </xf>
    <xf numFmtId="0" fontId="15" fillId="0" borderId="0" xfId="0" applyFont="1" applyAlignment="1">
      <alignment horizontal="center"/>
    </xf>
    <xf numFmtId="0" fontId="15" fillId="0" borderId="0" xfId="0" applyFont="1" applyAlignment="1">
      <alignment/>
    </xf>
    <xf numFmtId="0" fontId="22" fillId="0" borderId="0" xfId="0" applyFont="1" applyAlignment="1">
      <alignment/>
    </xf>
    <xf numFmtId="0" fontId="23" fillId="0" borderId="0" xfId="0" applyFont="1" applyAlignment="1">
      <alignment horizontal="center" wrapText="1"/>
    </xf>
    <xf numFmtId="0" fontId="23" fillId="0" borderId="0" xfId="0" applyFont="1" applyAlignment="1">
      <alignment wrapText="1"/>
    </xf>
    <xf numFmtId="0" fontId="15" fillId="0" borderId="7" xfId="0" applyFont="1" applyBorder="1" applyAlignment="1">
      <alignment horizontal="center"/>
    </xf>
    <xf numFmtId="0" fontId="15" fillId="0" borderId="7" xfId="0" applyFont="1" applyBorder="1" applyAlignment="1">
      <alignment horizontal="center" vertical="top" wrapText="1"/>
    </xf>
    <xf numFmtId="0" fontId="15" fillId="0" borderId="7" xfId="0" applyFont="1" applyFill="1" applyBorder="1" applyAlignment="1">
      <alignment horizontal="center"/>
    </xf>
    <xf numFmtId="0" fontId="15" fillId="0" borderId="0" xfId="0" applyFont="1" applyBorder="1" applyAlignment="1">
      <alignment/>
    </xf>
    <xf numFmtId="0" fontId="15" fillId="0" borderId="21" xfId="0" applyFont="1" applyBorder="1" applyAlignment="1">
      <alignment horizontal="center"/>
    </xf>
    <xf numFmtId="0" fontId="15" fillId="0" borderId="21" xfId="0" applyFont="1" applyBorder="1" applyAlignment="1">
      <alignment/>
    </xf>
    <xf numFmtId="0" fontId="15" fillId="0" borderId="21" xfId="0" applyFont="1" applyFill="1" applyBorder="1" applyAlignment="1">
      <alignment horizontal="center"/>
    </xf>
    <xf numFmtId="0" fontId="2" fillId="0" borderId="5" xfId="0" applyFont="1" applyBorder="1" applyAlignment="1">
      <alignment/>
    </xf>
    <xf numFmtId="0" fontId="2" fillId="0" borderId="5" xfId="0" applyFont="1" applyBorder="1" applyAlignment="1">
      <alignment horizontal="center"/>
    </xf>
    <xf numFmtId="0" fontId="15" fillId="0" borderId="6" xfId="0" applyFont="1" applyBorder="1" applyAlignment="1">
      <alignment horizontal="center"/>
    </xf>
    <xf numFmtId="0" fontId="15" fillId="0" borderId="5" xfId="0" applyFont="1" applyBorder="1" applyAlignment="1">
      <alignment vertical="top" wrapText="1"/>
    </xf>
    <xf numFmtId="0" fontId="15" fillId="0" borderId="5" xfId="0" applyFont="1" applyBorder="1" applyAlignment="1">
      <alignment horizontal="left"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vertical="top" wrapText="1"/>
    </xf>
    <xf numFmtId="0" fontId="15" fillId="0" borderId="7" xfId="0" applyFont="1" applyBorder="1" applyAlignment="1">
      <alignment horizontal="left" vertical="top" wrapText="1"/>
    </xf>
    <xf numFmtId="0" fontId="2" fillId="0" borderId="36" xfId="0" applyFont="1" applyBorder="1" applyAlignment="1">
      <alignment vertical="top" wrapText="1"/>
    </xf>
    <xf numFmtId="0" fontId="2" fillId="0" borderId="18" xfId="0" applyFont="1" applyBorder="1" applyAlignment="1">
      <alignment vertical="top" wrapText="1"/>
    </xf>
    <xf numFmtId="0" fontId="2" fillId="0" borderId="18" xfId="0" applyFont="1" applyBorder="1" applyAlignment="1">
      <alignment horizontal="center" vertical="top" wrapText="1"/>
    </xf>
    <xf numFmtId="0" fontId="2" fillId="0" borderId="19" xfId="0" applyFont="1" applyBorder="1" applyAlignment="1">
      <alignment vertical="top" wrapText="1"/>
    </xf>
    <xf numFmtId="0" fontId="15" fillId="0" borderId="31" xfId="0" applyFont="1" applyBorder="1" applyAlignment="1">
      <alignment vertical="top" wrapText="1"/>
    </xf>
    <xf numFmtId="0" fontId="1" fillId="0" borderId="44" xfId="0" applyFont="1" applyBorder="1" applyAlignment="1">
      <alignment horizontal="left" vertical="center" wrapText="1" shrinkToFit="1"/>
    </xf>
    <xf numFmtId="0" fontId="5" fillId="0" borderId="2"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5" xfId="0" applyFont="1" applyFill="1" applyBorder="1" applyAlignment="1">
      <alignment horizontal="center" vertical="center"/>
    </xf>
    <xf numFmtId="0" fontId="7" fillId="0" borderId="46" xfId="0" applyNumberFormat="1" applyFont="1" applyFill="1" applyBorder="1" applyAlignment="1">
      <alignment horizontal="center" vertical="center" wrapText="1"/>
    </xf>
    <xf numFmtId="0" fontId="1" fillId="0" borderId="1" xfId="0" applyFont="1" applyFill="1" applyBorder="1" applyAlignment="1">
      <alignment horizontal="right"/>
    </xf>
    <xf numFmtId="0" fontId="5" fillId="0" borderId="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45"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Border="1" applyAlignment="1">
      <alignment horizontal="left"/>
    </xf>
    <xf numFmtId="0" fontId="7" fillId="0" borderId="32" xfId="0" applyNumberFormat="1" applyFont="1" applyFill="1" applyBorder="1" applyAlignment="1">
      <alignment horizontal="center" vertical="center" wrapText="1"/>
    </xf>
    <xf numFmtId="0" fontId="1" fillId="0" borderId="0" xfId="0" applyFont="1" applyFill="1" applyAlignment="1">
      <alignment horizontal="left"/>
    </xf>
    <xf numFmtId="0" fontId="3" fillId="0" borderId="32" xfId="0" applyFont="1" applyFill="1" applyBorder="1" applyAlignment="1">
      <alignment horizontal="center" wrapText="1" shrinkToFit="1"/>
    </xf>
    <xf numFmtId="0" fontId="3" fillId="0" borderId="46" xfId="0" applyFont="1" applyFill="1" applyBorder="1" applyAlignment="1">
      <alignment horizontal="center" wrapText="1" shrinkToFit="1"/>
    </xf>
    <xf numFmtId="49" fontId="1" fillId="0" borderId="3"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0" fontId="1" fillId="0" borderId="3" xfId="0" applyFont="1" applyFill="1" applyBorder="1" applyAlignment="1">
      <alignment horizontal="center" wrapText="1" shrinkToFit="1"/>
    </xf>
    <xf numFmtId="0" fontId="1" fillId="0" borderId="24" xfId="0" applyFont="1" applyFill="1" applyBorder="1" applyAlignment="1">
      <alignment horizontal="center" wrapText="1" shrinkToFit="1"/>
    </xf>
    <xf numFmtId="0" fontId="1" fillId="0" borderId="38"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3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9" xfId="0" applyFont="1" applyFill="1" applyBorder="1" applyAlignment="1">
      <alignment horizontal="center" wrapText="1"/>
    </xf>
    <xf numFmtId="0" fontId="3" fillId="0" borderId="43" xfId="0" applyFont="1" applyFill="1" applyBorder="1" applyAlignment="1">
      <alignment horizontal="center" wrapText="1"/>
    </xf>
    <xf numFmtId="0" fontId="1" fillId="0" borderId="0" xfId="0" applyFont="1" applyFill="1" applyBorder="1" applyAlignment="1">
      <alignment/>
    </xf>
    <xf numFmtId="0" fontId="2" fillId="0" borderId="0" xfId="0" applyFont="1" applyFill="1" applyAlignment="1">
      <alignment horizontal="center" vertical="top"/>
    </xf>
    <xf numFmtId="49" fontId="1" fillId="0" borderId="3" xfId="0" applyNumberFormat="1" applyFont="1" applyFill="1" applyBorder="1" applyAlignment="1">
      <alignment horizontal="center" vertical="top" wrapText="1"/>
    </xf>
    <xf numFmtId="49" fontId="1" fillId="0" borderId="2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2" xfId="0" applyFont="1" applyFill="1" applyBorder="1" applyAlignment="1">
      <alignment horizontal="center" vertical="center"/>
    </xf>
    <xf numFmtId="0" fontId="4" fillId="0" borderId="24" xfId="0" applyFont="1" applyFill="1" applyBorder="1" applyAlignment="1">
      <alignment horizontal="center" vertical="center" wrapText="1"/>
    </xf>
    <xf numFmtId="172" fontId="2" fillId="0" borderId="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9" fontId="3" fillId="0" borderId="3" xfId="0" applyNumberFormat="1" applyFont="1" applyFill="1" applyBorder="1" applyAlignment="1">
      <alignment horizontal="center" vertical="center" wrapText="1"/>
    </xf>
    <xf numFmtId="9" fontId="3" fillId="0" borderId="24" xfId="0" applyNumberFormat="1" applyFont="1" applyFill="1" applyBorder="1" applyAlignment="1">
      <alignment horizontal="center" vertical="center" wrapText="1"/>
    </xf>
    <xf numFmtId="9" fontId="3" fillId="0" borderId="32" xfId="0" applyNumberFormat="1" applyFont="1" applyFill="1" applyBorder="1" applyAlignment="1">
      <alignment horizontal="center" vertical="center" wrapText="1"/>
    </xf>
    <xf numFmtId="9" fontId="3" fillId="0" borderId="3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0" xfId="0" applyFont="1" applyFill="1" applyAlignment="1">
      <alignment horizontal="center" wrapText="1"/>
    </xf>
    <xf numFmtId="0" fontId="3" fillId="0" borderId="32" xfId="0" applyFont="1" applyFill="1" applyBorder="1" applyAlignment="1">
      <alignment horizontal="center"/>
    </xf>
    <xf numFmtId="0" fontId="3" fillId="0" borderId="47" xfId="0" applyFont="1" applyFill="1" applyBorder="1" applyAlignment="1">
      <alignment horizontal="center"/>
    </xf>
    <xf numFmtId="0" fontId="3" fillId="0" borderId="33" xfId="0" applyFont="1" applyFill="1" applyBorder="1" applyAlignment="1">
      <alignment horizontal="center"/>
    </xf>
    <xf numFmtId="0" fontId="3" fillId="0" borderId="45" xfId="0" applyFont="1" applyFill="1" applyBorder="1" applyAlignment="1">
      <alignment horizontal="center"/>
    </xf>
    <xf numFmtId="9" fontId="3" fillId="0" borderId="38" xfId="0" applyNumberFormat="1" applyFont="1" applyFill="1" applyBorder="1" applyAlignment="1">
      <alignment horizontal="center" vertical="center" wrapText="1"/>
    </xf>
    <xf numFmtId="9" fontId="3" fillId="0" borderId="34" xfId="0" applyNumberFormat="1" applyFont="1" applyFill="1" applyBorder="1" applyAlignment="1">
      <alignment horizontal="center" vertical="center" wrapText="1"/>
    </xf>
    <xf numFmtId="9" fontId="3" fillId="0" borderId="48" xfId="0" applyNumberFormat="1" applyFont="1" applyFill="1" applyBorder="1" applyAlignment="1">
      <alignment horizontal="center" vertical="center" wrapText="1"/>
    </xf>
    <xf numFmtId="9" fontId="3" fillId="0" borderId="35"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32" xfId="0" applyFont="1" applyBorder="1" applyAlignment="1">
      <alignment horizontal="center"/>
    </xf>
    <xf numFmtId="0" fontId="3" fillId="0" borderId="45" xfId="0" applyFont="1" applyBorder="1" applyAlignment="1">
      <alignment horizont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shrinkToFit="1"/>
    </xf>
    <xf numFmtId="0" fontId="16" fillId="0" borderId="0" xfId="0" applyFont="1" applyAlignment="1">
      <alignment horizontal="center" vertical="center" wrapText="1"/>
    </xf>
    <xf numFmtId="0" fontId="16" fillId="0" borderId="0" xfId="0" applyFont="1" applyAlignment="1">
      <alignment horizontal="center" vertical="center" wrapText="1" shrinkToFit="1"/>
    </xf>
    <xf numFmtId="0" fontId="2" fillId="0" borderId="4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2"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2" fillId="0" borderId="46"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46" xfId="0" applyFont="1" applyBorder="1" applyAlignment="1">
      <alignment horizontal="center" vertical="top" wrapText="1" shrinkToFit="1"/>
    </xf>
    <xf numFmtId="0" fontId="2" fillId="0" borderId="18" xfId="0" applyFont="1" applyBorder="1" applyAlignment="1">
      <alignment horizontal="center" vertical="top" wrapText="1" shrinkToFit="1"/>
    </xf>
    <xf numFmtId="0" fontId="1" fillId="0" borderId="5" xfId="0" applyFont="1" applyBorder="1" applyAlignment="1">
      <alignment horizontal="center" vertical="top" wrapText="1" shrinkToFit="1"/>
    </xf>
    <xf numFmtId="0" fontId="1" fillId="0" borderId="29" xfId="0" applyFont="1" applyBorder="1" applyAlignment="1">
      <alignment horizontal="left" vertical="top" wrapText="1" shrinkToFit="1"/>
    </xf>
    <xf numFmtId="0" fontId="1" fillId="0" borderId="21" xfId="0" applyFont="1" applyBorder="1" applyAlignment="1">
      <alignment horizontal="left" vertical="top" wrapText="1" shrinkToFit="1"/>
    </xf>
    <xf numFmtId="0" fontId="1" fillId="0" borderId="22" xfId="0" applyFont="1" applyBorder="1" applyAlignment="1">
      <alignment horizontal="left" vertical="top" wrapText="1" shrinkToFit="1"/>
    </xf>
    <xf numFmtId="0" fontId="1" fillId="0" borderId="29" xfId="0" applyFont="1" applyBorder="1" applyAlignment="1">
      <alignment horizontal="center" vertical="top" wrapText="1" shrinkToFit="1"/>
    </xf>
    <xf numFmtId="0" fontId="1" fillId="0" borderId="21" xfId="0" applyFont="1" applyBorder="1" applyAlignment="1">
      <alignment horizontal="center" vertical="top" wrapText="1" shrinkToFit="1"/>
    </xf>
    <xf numFmtId="0" fontId="1" fillId="0" borderId="22" xfId="0" applyFont="1" applyBorder="1" applyAlignment="1">
      <alignment horizontal="center" vertical="top" wrapText="1" shrinkToFit="1"/>
    </xf>
    <xf numFmtId="173" fontId="15" fillId="0" borderId="29" xfId="0" applyNumberFormat="1" applyFont="1" applyBorder="1" applyAlignment="1">
      <alignment horizontal="center" vertical="center" wrapText="1" shrinkToFit="1"/>
    </xf>
    <xf numFmtId="173" fontId="15" fillId="0" borderId="21" xfId="0" applyNumberFormat="1" applyFont="1" applyBorder="1" applyAlignment="1">
      <alignment horizontal="center" vertical="center" wrapText="1" shrinkToFit="1"/>
    </xf>
    <xf numFmtId="173" fontId="15" fillId="0" borderId="22" xfId="0" applyNumberFormat="1" applyFont="1" applyBorder="1" applyAlignment="1">
      <alignment horizontal="center" vertical="center" wrapText="1" shrinkToFit="1"/>
    </xf>
    <xf numFmtId="0" fontId="2" fillId="0" borderId="43" xfId="0" applyFont="1" applyBorder="1" applyAlignment="1">
      <alignment horizontal="center" wrapText="1"/>
    </xf>
    <xf numFmtId="0" fontId="2" fillId="0" borderId="22" xfId="0" applyFont="1" applyBorder="1" applyAlignment="1">
      <alignment horizontal="center" wrapText="1"/>
    </xf>
    <xf numFmtId="0" fontId="0" fillId="0" borderId="21" xfId="0" applyBorder="1" applyAlignment="1">
      <alignment/>
    </xf>
    <xf numFmtId="0" fontId="0" fillId="0" borderId="22" xfId="0" applyBorder="1" applyAlignment="1">
      <alignment/>
    </xf>
    <xf numFmtId="0" fontId="1" fillId="0" borderId="6" xfId="0" applyFont="1" applyBorder="1" applyAlignment="1">
      <alignment horizontal="center" vertical="top" wrapText="1" shrinkToFit="1"/>
    </xf>
    <xf numFmtId="0" fontId="1" fillId="0" borderId="7" xfId="0" applyFont="1" applyBorder="1" applyAlignment="1">
      <alignment horizontal="center" vertical="top" wrapText="1" shrinkToFit="1"/>
    </xf>
    <xf numFmtId="0" fontId="15" fillId="0" borderId="29" xfId="0" applyFont="1" applyBorder="1" applyAlignment="1">
      <alignment horizontal="center" vertical="center" wrapText="1" shrinkToFit="1"/>
    </xf>
    <xf numFmtId="0" fontId="15" fillId="0" borderId="21" xfId="0" applyFont="1" applyBorder="1" applyAlignment="1">
      <alignment horizontal="center" vertical="center" wrapText="1" shrinkToFit="1"/>
    </xf>
    <xf numFmtId="0" fontId="15" fillId="0" borderId="22" xfId="0" applyFont="1" applyBorder="1" applyAlignment="1">
      <alignment horizontal="center" vertical="center" wrapText="1" shrinkToFi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173" fontId="15" fillId="0" borderId="7" xfId="0" applyNumberFormat="1" applyFont="1" applyBorder="1" applyAlignment="1">
      <alignment horizontal="center" vertical="center" wrapText="1" shrinkToFit="1"/>
    </xf>
    <xf numFmtId="173" fontId="15" fillId="0" borderId="6" xfId="0" applyNumberFormat="1"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 fillId="0" borderId="5" xfId="0" applyFont="1" applyBorder="1" applyAlignment="1">
      <alignment horizontal="left" vertical="top" wrapText="1" shrinkToFit="1"/>
    </xf>
    <xf numFmtId="0" fontId="22" fillId="0" borderId="0" xfId="0" applyFont="1" applyAlignment="1">
      <alignment horizontal="left" wrapText="1"/>
    </xf>
    <xf numFmtId="0" fontId="22" fillId="0" borderId="0" xfId="0" applyFont="1" applyAlignment="1">
      <alignment horizontal="center" wrapText="1"/>
    </xf>
    <xf numFmtId="0" fontId="23" fillId="0" borderId="0" xfId="0" applyFont="1" applyAlignment="1">
      <alignment horizontal="center" wrapText="1"/>
    </xf>
    <xf numFmtId="0" fontId="15" fillId="0" borderId="7" xfId="0" applyFont="1" applyBorder="1" applyAlignment="1">
      <alignment horizontal="center"/>
    </xf>
    <xf numFmtId="0" fontId="15" fillId="0" borderId="21" xfId="0" applyFont="1" applyBorder="1" applyAlignment="1">
      <alignment horizontal="center"/>
    </xf>
    <xf numFmtId="0" fontId="15" fillId="0" borderId="7" xfId="0" applyFont="1" applyBorder="1" applyAlignment="1">
      <alignment horizontal="center" vertical="top" wrapText="1"/>
    </xf>
    <xf numFmtId="0" fontId="15" fillId="0" borderId="21" xfId="0" applyFont="1" applyBorder="1" applyAlignment="1">
      <alignment horizontal="center" vertical="top" wrapText="1"/>
    </xf>
    <xf numFmtId="0" fontId="15" fillId="0" borderId="7" xfId="0" applyFont="1" applyBorder="1" applyAlignment="1">
      <alignment horizontal="center" wrapText="1"/>
    </xf>
    <xf numFmtId="0" fontId="15" fillId="0" borderId="21" xfId="0" applyFont="1"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2"/>
  <sheetViews>
    <sheetView view="pageBreakPreview" zoomScale="80" zoomScaleNormal="70" zoomScaleSheetLayoutView="80" workbookViewId="0" topLeftCell="A61">
      <selection activeCell="I71" sqref="I71"/>
    </sheetView>
  </sheetViews>
  <sheetFormatPr defaultColWidth="9.00390625" defaultRowHeight="12.75"/>
  <cols>
    <col min="1" max="1" width="10.75390625" style="157" customWidth="1"/>
    <col min="2" max="2" width="44.125" style="159" customWidth="1"/>
    <col min="3" max="3" width="10.00390625" style="158" customWidth="1"/>
    <col min="4" max="4" width="11.25390625" style="158" customWidth="1"/>
    <col min="5" max="5" width="9.875" style="158" customWidth="1"/>
    <col min="6" max="6" width="11.125" style="158" customWidth="1"/>
    <col min="7" max="16384" width="9.125" style="158" customWidth="1"/>
  </cols>
  <sheetData>
    <row r="1" spans="2:6" ht="12.75">
      <c r="B1" s="158"/>
      <c r="D1" s="370" t="s">
        <v>155</v>
      </c>
      <c r="E1" s="370"/>
      <c r="F1" s="370"/>
    </row>
    <row r="2" spans="4:6" ht="12.75">
      <c r="D2" s="370" t="s">
        <v>5</v>
      </c>
      <c r="E2" s="370"/>
      <c r="F2" s="370"/>
    </row>
    <row r="3" spans="4:6" ht="12.75">
      <c r="D3" s="370" t="s">
        <v>319</v>
      </c>
      <c r="E3" s="370"/>
      <c r="F3" s="370"/>
    </row>
    <row r="4" spans="5:6" ht="14.25" customHeight="1">
      <c r="E4" s="370"/>
      <c r="F4" s="370"/>
    </row>
    <row r="5" ht="3.75" customHeight="1" hidden="1"/>
    <row r="6" spans="3:6" ht="15" customHeight="1">
      <c r="C6" s="160" t="s">
        <v>156</v>
      </c>
      <c r="D6" s="161"/>
      <c r="E6" s="161"/>
      <c r="F6" s="161"/>
    </row>
    <row r="7" ht="12.75" customHeight="1">
      <c r="F7" s="3" t="s">
        <v>201</v>
      </c>
    </row>
    <row r="8" ht="12.75" thickBot="1"/>
    <row r="9" ht="12" customHeight="1" hidden="1"/>
    <row r="10" spans="1:6" ht="13.5" thickBot="1">
      <c r="A10" s="373" t="s">
        <v>157</v>
      </c>
      <c r="B10" s="375" t="s">
        <v>158</v>
      </c>
      <c r="C10" s="377" t="s">
        <v>159</v>
      </c>
      <c r="D10" s="162" t="s">
        <v>160</v>
      </c>
      <c r="E10" s="163"/>
      <c r="F10" s="379" t="s">
        <v>13</v>
      </c>
    </row>
    <row r="11" spans="1:6" ht="39" thickBot="1">
      <c r="A11" s="374"/>
      <c r="B11" s="376"/>
      <c r="C11" s="378"/>
      <c r="D11" s="164" t="s">
        <v>13</v>
      </c>
      <c r="E11" s="165" t="s">
        <v>161</v>
      </c>
      <c r="F11" s="380"/>
    </row>
    <row r="12" spans="1:6" ht="13.5" thickBot="1">
      <c r="A12" s="166">
        <v>1</v>
      </c>
      <c r="B12" s="167">
        <v>2</v>
      </c>
      <c r="C12" s="168">
        <v>3</v>
      </c>
      <c r="D12" s="168">
        <v>4</v>
      </c>
      <c r="E12" s="168">
        <v>5</v>
      </c>
      <c r="F12" s="168" t="s">
        <v>162</v>
      </c>
    </row>
    <row r="13" spans="1:7" s="67" customFormat="1" ht="12.75">
      <c r="A13" s="69">
        <v>10000000</v>
      </c>
      <c r="B13" s="63" t="s">
        <v>163</v>
      </c>
      <c r="C13" s="64">
        <f>C14+C20+C22</f>
        <v>453914.3</v>
      </c>
      <c r="D13" s="64">
        <f>D18+D22</f>
        <v>29400</v>
      </c>
      <c r="E13" s="64" t="s">
        <v>164</v>
      </c>
      <c r="F13" s="65">
        <f>C13+D13</f>
        <v>483314.3</v>
      </c>
      <c r="G13" s="66"/>
    </row>
    <row r="14" spans="1:6" ht="25.5">
      <c r="A14" s="81">
        <v>11000000</v>
      </c>
      <c r="B14" s="49" t="s">
        <v>165</v>
      </c>
      <c r="C14" s="169">
        <f>C15+C16</f>
        <v>365082.3</v>
      </c>
      <c r="D14" s="169" t="s">
        <v>164</v>
      </c>
      <c r="E14" s="169" t="s">
        <v>164</v>
      </c>
      <c r="F14" s="170">
        <f>F15+F16</f>
        <v>365082.3</v>
      </c>
    </row>
    <row r="15" spans="1:6" ht="12.75">
      <c r="A15" s="81">
        <v>11010000</v>
      </c>
      <c r="B15" s="49" t="s">
        <v>166</v>
      </c>
      <c r="C15" s="171">
        <f>358662.3+6000</f>
        <v>364662.3</v>
      </c>
      <c r="D15" s="169" t="s">
        <v>164</v>
      </c>
      <c r="E15" s="169" t="s">
        <v>164</v>
      </c>
      <c r="F15" s="170">
        <f>C15</f>
        <v>364662.3</v>
      </c>
    </row>
    <row r="16" spans="1:6" ht="12.75">
      <c r="A16" s="81">
        <v>11020000</v>
      </c>
      <c r="B16" s="49" t="s">
        <v>167</v>
      </c>
      <c r="C16" s="169">
        <f>C17</f>
        <v>420</v>
      </c>
      <c r="D16" s="169" t="s">
        <v>164</v>
      </c>
      <c r="E16" s="169" t="s">
        <v>164</v>
      </c>
      <c r="F16" s="170">
        <f>C16</f>
        <v>420</v>
      </c>
    </row>
    <row r="17" spans="1:6" ht="25.5">
      <c r="A17" s="81">
        <v>11020200</v>
      </c>
      <c r="B17" s="49" t="s">
        <v>168</v>
      </c>
      <c r="C17" s="171">
        <v>420</v>
      </c>
      <c r="D17" s="169" t="s">
        <v>164</v>
      </c>
      <c r="E17" s="169" t="s">
        <v>164</v>
      </c>
      <c r="F17" s="170">
        <f>C17</f>
        <v>420</v>
      </c>
    </row>
    <row r="18" spans="1:6" ht="12.75">
      <c r="A18" s="81">
        <v>12000000</v>
      </c>
      <c r="B18" s="49" t="s">
        <v>169</v>
      </c>
      <c r="C18" s="169" t="s">
        <v>164</v>
      </c>
      <c r="D18" s="169">
        <f>D19</f>
        <v>28100</v>
      </c>
      <c r="E18" s="169" t="s">
        <v>164</v>
      </c>
      <c r="F18" s="170">
        <f>F19</f>
        <v>28100</v>
      </c>
    </row>
    <row r="19" spans="1:6" ht="25.5">
      <c r="A19" s="81">
        <v>12020000</v>
      </c>
      <c r="B19" s="49" t="s">
        <v>170</v>
      </c>
      <c r="C19" s="169" t="s">
        <v>164</v>
      </c>
      <c r="D19" s="171">
        <v>28100</v>
      </c>
      <c r="E19" s="169" t="s">
        <v>164</v>
      </c>
      <c r="F19" s="170">
        <v>28100</v>
      </c>
    </row>
    <row r="20" spans="1:6" ht="25.5">
      <c r="A20" s="81">
        <v>13000000</v>
      </c>
      <c r="B20" s="49" t="s">
        <v>171</v>
      </c>
      <c r="C20" s="169">
        <f>C21</f>
        <v>68250</v>
      </c>
      <c r="D20" s="169" t="s">
        <v>164</v>
      </c>
      <c r="E20" s="169" t="s">
        <v>164</v>
      </c>
      <c r="F20" s="170">
        <f>F21</f>
        <v>66250</v>
      </c>
    </row>
    <row r="21" spans="1:6" ht="12.75">
      <c r="A21" s="81">
        <v>13050000</v>
      </c>
      <c r="B21" s="49" t="s">
        <v>172</v>
      </c>
      <c r="C21" s="171">
        <f>66250+2000</f>
        <v>68250</v>
      </c>
      <c r="D21" s="169" t="s">
        <v>164</v>
      </c>
      <c r="E21" s="169" t="s">
        <v>164</v>
      </c>
      <c r="F21" s="170">
        <v>66250</v>
      </c>
    </row>
    <row r="22" spans="1:6" ht="13.5" customHeight="1">
      <c r="A22" s="81">
        <v>14000000</v>
      </c>
      <c r="B22" s="49" t="s">
        <v>173</v>
      </c>
      <c r="C22" s="169">
        <f>C23+C24+C25</f>
        <v>20582</v>
      </c>
      <c r="D22" s="169">
        <f>D26</f>
        <v>1300</v>
      </c>
      <c r="E22" s="169" t="s">
        <v>164</v>
      </c>
      <c r="F22" s="170">
        <f>C22+D22</f>
        <v>21882</v>
      </c>
    </row>
    <row r="23" spans="1:6" ht="12.75">
      <c r="A23" s="81">
        <v>14060200</v>
      </c>
      <c r="B23" s="49" t="s">
        <v>174</v>
      </c>
      <c r="C23" s="171">
        <v>460</v>
      </c>
      <c r="D23" s="169" t="s">
        <v>164</v>
      </c>
      <c r="E23" s="169" t="s">
        <v>164</v>
      </c>
      <c r="F23" s="170">
        <f>C23</f>
        <v>460</v>
      </c>
    </row>
    <row r="24" spans="1:6" ht="25.5">
      <c r="A24" s="81">
        <v>14060300</v>
      </c>
      <c r="B24" s="49" t="s">
        <v>175</v>
      </c>
      <c r="C24" s="171">
        <v>22</v>
      </c>
      <c r="D24" s="169" t="s">
        <v>164</v>
      </c>
      <c r="E24" s="169" t="s">
        <v>164</v>
      </c>
      <c r="F24" s="170">
        <f>C24</f>
        <v>22</v>
      </c>
    </row>
    <row r="25" spans="1:6" ht="25.5">
      <c r="A25" s="81">
        <v>14061100</v>
      </c>
      <c r="B25" s="49" t="s">
        <v>176</v>
      </c>
      <c r="C25" s="171">
        <f>18000+1800+300</f>
        <v>20100</v>
      </c>
      <c r="D25" s="169" t="s">
        <v>164</v>
      </c>
      <c r="E25" s="169" t="s">
        <v>164</v>
      </c>
      <c r="F25" s="170">
        <f>C25</f>
        <v>20100</v>
      </c>
    </row>
    <row r="26" spans="1:6" ht="25.5">
      <c r="A26" s="81">
        <v>14070000</v>
      </c>
      <c r="B26" s="49" t="s">
        <v>177</v>
      </c>
      <c r="C26" s="169" t="s">
        <v>164</v>
      </c>
      <c r="D26" s="169">
        <f>D27</f>
        <v>1300</v>
      </c>
      <c r="E26" s="169" t="s">
        <v>164</v>
      </c>
      <c r="F26" s="170">
        <f>F27</f>
        <v>1300</v>
      </c>
    </row>
    <row r="27" spans="1:6" ht="38.25">
      <c r="A27" s="81">
        <v>14071500</v>
      </c>
      <c r="B27" s="49" t="s">
        <v>178</v>
      </c>
      <c r="C27" s="169" t="s">
        <v>164</v>
      </c>
      <c r="D27" s="171">
        <v>1300</v>
      </c>
      <c r="E27" s="169" t="s">
        <v>164</v>
      </c>
      <c r="F27" s="170">
        <f>D27</f>
        <v>1300</v>
      </c>
    </row>
    <row r="28" spans="1:6" s="67" customFormat="1" ht="12.75">
      <c r="A28" s="69">
        <v>20000000</v>
      </c>
      <c r="B28" s="63" t="s">
        <v>179</v>
      </c>
      <c r="C28" s="64">
        <f>C29+C32+C34+C37</f>
        <v>7693.700000000002</v>
      </c>
      <c r="D28" s="64">
        <f>D31+D41</f>
        <v>20314.3</v>
      </c>
      <c r="E28" s="64" t="s">
        <v>164</v>
      </c>
      <c r="F28" s="68">
        <f>C28+D28</f>
        <v>28008</v>
      </c>
    </row>
    <row r="29" spans="1:6" ht="25.5">
      <c r="A29" s="81">
        <v>21000000</v>
      </c>
      <c r="B29" s="49" t="s">
        <v>180</v>
      </c>
      <c r="C29" s="169">
        <f>C30</f>
        <v>6662.4000000000015</v>
      </c>
      <c r="D29" s="169" t="s">
        <v>164</v>
      </c>
      <c r="E29" s="169" t="s">
        <v>164</v>
      </c>
      <c r="F29" s="170">
        <f>C29</f>
        <v>6662.4000000000015</v>
      </c>
    </row>
    <row r="30" spans="1:6" ht="26.25" customHeight="1">
      <c r="A30" s="81">
        <v>21040000</v>
      </c>
      <c r="B30" s="49" t="s">
        <v>255</v>
      </c>
      <c r="C30" s="169">
        <f>25223.3+0.4+38.7+2500-1000-400-20000+300</f>
        <v>6662.4000000000015</v>
      </c>
      <c r="D30" s="169" t="s">
        <v>164</v>
      </c>
      <c r="E30" s="169" t="s">
        <v>164</v>
      </c>
      <c r="F30" s="170">
        <f>C30</f>
        <v>6662.4000000000015</v>
      </c>
    </row>
    <row r="31" spans="1:6" ht="38.25">
      <c r="A31" s="81">
        <v>21110000</v>
      </c>
      <c r="B31" s="49" t="s">
        <v>181</v>
      </c>
      <c r="C31" s="169" t="s">
        <v>164</v>
      </c>
      <c r="D31" s="169">
        <v>665.4</v>
      </c>
      <c r="E31" s="169" t="s">
        <v>164</v>
      </c>
      <c r="F31" s="170">
        <f>D31</f>
        <v>665.4</v>
      </c>
    </row>
    <row r="32" spans="1:6" ht="25.5">
      <c r="A32" s="81">
        <v>22000000</v>
      </c>
      <c r="B32" s="49" t="s">
        <v>182</v>
      </c>
      <c r="C32" s="169">
        <f>C33</f>
        <v>785.3</v>
      </c>
      <c r="D32" s="169" t="s">
        <v>164</v>
      </c>
      <c r="E32" s="169" t="s">
        <v>164</v>
      </c>
      <c r="F32" s="170">
        <f>C32</f>
        <v>785.3</v>
      </c>
    </row>
    <row r="33" spans="1:6" ht="24.75" customHeight="1">
      <c r="A33" s="81">
        <v>22080000</v>
      </c>
      <c r="B33" s="172" t="s">
        <v>256</v>
      </c>
      <c r="C33" s="171">
        <f>750+83.3-47.8-0.2</f>
        <v>785.3</v>
      </c>
      <c r="D33" s="169" t="s">
        <v>164</v>
      </c>
      <c r="E33" s="169" t="s">
        <v>164</v>
      </c>
      <c r="F33" s="170">
        <f>C33</f>
        <v>785.3</v>
      </c>
    </row>
    <row r="34" spans="1:6" ht="12.75">
      <c r="A34" s="81">
        <v>23000000</v>
      </c>
      <c r="B34" s="49" t="s">
        <v>183</v>
      </c>
      <c r="C34" s="169">
        <f>C36</f>
        <v>40</v>
      </c>
      <c r="D34" s="169" t="s">
        <v>164</v>
      </c>
      <c r="E34" s="169" t="s">
        <v>164</v>
      </c>
      <c r="F34" s="170">
        <f>C34</f>
        <v>40</v>
      </c>
    </row>
    <row r="35" spans="1:6" ht="76.5" hidden="1">
      <c r="A35" s="81">
        <v>23020000</v>
      </c>
      <c r="B35" s="49" t="s">
        <v>195</v>
      </c>
      <c r="C35" s="173" t="s">
        <v>164</v>
      </c>
      <c r="D35" s="173" t="s">
        <v>164</v>
      </c>
      <c r="E35" s="173" t="s">
        <v>164</v>
      </c>
      <c r="F35" s="174" t="s">
        <v>164</v>
      </c>
    </row>
    <row r="36" spans="1:6" ht="12.75">
      <c r="A36" s="81">
        <v>23030000</v>
      </c>
      <c r="B36" s="49" t="s">
        <v>184</v>
      </c>
      <c r="C36" s="171">
        <v>40</v>
      </c>
      <c r="D36" s="169" t="s">
        <v>164</v>
      </c>
      <c r="E36" s="169" t="s">
        <v>164</v>
      </c>
      <c r="F36" s="170">
        <f>C36</f>
        <v>40</v>
      </c>
    </row>
    <row r="37" spans="1:6" ht="12.75">
      <c r="A37" s="81">
        <v>24000000</v>
      </c>
      <c r="B37" s="49" t="s">
        <v>185</v>
      </c>
      <c r="C37" s="171">
        <f>C40</f>
        <v>206</v>
      </c>
      <c r="D37" s="169" t="s">
        <v>164</v>
      </c>
      <c r="E37" s="169" t="s">
        <v>164</v>
      </c>
      <c r="F37" s="170">
        <f>C37</f>
        <v>206</v>
      </c>
    </row>
    <row r="38" spans="1:6" ht="12.75" hidden="1">
      <c r="A38" s="81"/>
      <c r="B38" s="49"/>
      <c r="C38" s="169">
        <v>0</v>
      </c>
      <c r="D38" s="169" t="s">
        <v>164</v>
      </c>
      <c r="E38" s="169" t="s">
        <v>164</v>
      </c>
      <c r="F38" s="170">
        <v>0</v>
      </c>
    </row>
    <row r="39" spans="1:6" ht="51" hidden="1">
      <c r="A39" s="81">
        <v>24030000</v>
      </c>
      <c r="B39" s="49" t="s">
        <v>196</v>
      </c>
      <c r="C39" s="173" t="s">
        <v>164</v>
      </c>
      <c r="D39" s="173" t="s">
        <v>164</v>
      </c>
      <c r="E39" s="173" t="s">
        <v>164</v>
      </c>
      <c r="F39" s="174" t="s">
        <v>164</v>
      </c>
    </row>
    <row r="40" spans="1:6" ht="12.75">
      <c r="A40" s="81">
        <v>24060300</v>
      </c>
      <c r="B40" s="49" t="s">
        <v>186</v>
      </c>
      <c r="C40" s="169">
        <v>206</v>
      </c>
      <c r="D40" s="169" t="s">
        <v>164</v>
      </c>
      <c r="E40" s="169" t="s">
        <v>164</v>
      </c>
      <c r="F40" s="170">
        <f>C40</f>
        <v>206</v>
      </c>
    </row>
    <row r="41" spans="1:6" ht="12.75">
      <c r="A41" s="81">
        <v>25000000</v>
      </c>
      <c r="B41" s="49" t="s">
        <v>187</v>
      </c>
      <c r="C41" s="169" t="s">
        <v>164</v>
      </c>
      <c r="D41" s="171">
        <f>19387.1+197+64.8</f>
        <v>19648.899999999998</v>
      </c>
      <c r="E41" s="169" t="s">
        <v>164</v>
      </c>
      <c r="F41" s="170">
        <f>D41</f>
        <v>19648.899999999998</v>
      </c>
    </row>
    <row r="42" spans="1:6" s="67" customFormat="1" ht="51">
      <c r="A42" s="69">
        <v>31030000</v>
      </c>
      <c r="B42" s="63" t="s">
        <v>188</v>
      </c>
      <c r="C42" s="64" t="s">
        <v>164</v>
      </c>
      <c r="D42" s="175">
        <v>1000</v>
      </c>
      <c r="E42" s="175">
        <f>D42</f>
        <v>1000</v>
      </c>
      <c r="F42" s="68">
        <f>D42</f>
        <v>1000</v>
      </c>
    </row>
    <row r="43" spans="1:6" s="67" customFormat="1" ht="12.75">
      <c r="A43" s="69">
        <v>50000000</v>
      </c>
      <c r="B43" s="63" t="s">
        <v>62</v>
      </c>
      <c r="C43" s="64" t="s">
        <v>164</v>
      </c>
      <c r="D43" s="64">
        <f>D44</f>
        <v>38000</v>
      </c>
      <c r="E43" s="64" t="s">
        <v>164</v>
      </c>
      <c r="F43" s="68">
        <f>D43</f>
        <v>38000</v>
      </c>
    </row>
    <row r="44" spans="1:6" ht="13.5" thickBot="1">
      <c r="A44" s="83">
        <v>50080000</v>
      </c>
      <c r="B44" s="176" t="s">
        <v>189</v>
      </c>
      <c r="C44" s="177" t="s">
        <v>164</v>
      </c>
      <c r="D44" s="178">
        <v>38000</v>
      </c>
      <c r="E44" s="177" t="s">
        <v>164</v>
      </c>
      <c r="F44" s="179">
        <f>D44</f>
        <v>38000</v>
      </c>
    </row>
    <row r="45" spans="1:6" s="67" customFormat="1" ht="13.5" thickBot="1">
      <c r="A45" s="371" t="s">
        <v>190</v>
      </c>
      <c r="B45" s="372"/>
      <c r="C45" s="180">
        <f>C13+C28</f>
        <v>461608</v>
      </c>
      <c r="D45" s="180">
        <f>D13+D28+D42+D43</f>
        <v>88714.3</v>
      </c>
      <c r="E45" s="181">
        <f>E42</f>
        <v>1000</v>
      </c>
      <c r="F45" s="182">
        <f>C45+D45</f>
        <v>550322.3</v>
      </c>
    </row>
    <row r="46" spans="1:6" s="67" customFormat="1" ht="13.5" thickBot="1">
      <c r="A46" s="183"/>
      <c r="B46" s="184"/>
      <c r="C46" s="185"/>
      <c r="D46" s="185"/>
      <c r="E46" s="186"/>
      <c r="F46" s="187"/>
    </row>
    <row r="47" spans="1:6" ht="13.5" thickBot="1">
      <c r="A47" s="188">
        <v>40000000</v>
      </c>
      <c r="B47" s="189" t="s">
        <v>191</v>
      </c>
      <c r="C47" s="181">
        <f>C48+C51+C49+C50</f>
        <v>686957.7000000001</v>
      </c>
      <c r="D47" s="181">
        <f>D51+D69</f>
        <v>78660</v>
      </c>
      <c r="E47" s="181">
        <f>E51+E69</f>
        <v>69622.2</v>
      </c>
      <c r="F47" s="182">
        <f>C47+D47</f>
        <v>765617.7000000001</v>
      </c>
    </row>
    <row r="48" spans="1:6" ht="64.5" customHeight="1">
      <c r="A48" s="190">
        <v>41020600</v>
      </c>
      <c r="B48" s="73" t="s">
        <v>218</v>
      </c>
      <c r="C48" s="191">
        <v>29135.3</v>
      </c>
      <c r="D48" s="191" t="s">
        <v>164</v>
      </c>
      <c r="E48" s="191" t="s">
        <v>164</v>
      </c>
      <c r="F48" s="192">
        <f>C48</f>
        <v>29135.3</v>
      </c>
    </row>
    <row r="49" spans="1:6" ht="80.25" customHeight="1">
      <c r="A49" s="190" t="s">
        <v>272</v>
      </c>
      <c r="B49" s="73" t="s">
        <v>341</v>
      </c>
      <c r="C49" s="191">
        <v>57812.4</v>
      </c>
      <c r="D49" s="191"/>
      <c r="E49" s="191"/>
      <c r="F49" s="192">
        <f>C49</f>
        <v>57812.4</v>
      </c>
    </row>
    <row r="50" spans="1:6" ht="51" customHeight="1">
      <c r="A50" s="190" t="s">
        <v>273</v>
      </c>
      <c r="B50" s="193" t="s">
        <v>340</v>
      </c>
      <c r="C50" s="191">
        <v>1482.5</v>
      </c>
      <c r="D50" s="191"/>
      <c r="E50" s="191"/>
      <c r="F50" s="192">
        <f>C50</f>
        <v>1482.5</v>
      </c>
    </row>
    <row r="51" spans="1:6" ht="12.75">
      <c r="A51" s="69">
        <v>41030000</v>
      </c>
      <c r="B51" s="63" t="s">
        <v>192</v>
      </c>
      <c r="C51" s="64">
        <f>C54+C55+C56+C57+C58+C59+C60+C61+C62+C63+C53+C52+C64+C65+C66+C67+C68</f>
        <v>598527.5</v>
      </c>
      <c r="D51" s="64">
        <f>D54+D55+D56+D57+D58+D59+D60+D61+D62+D63+D53+D52+D64+D65</f>
        <v>9344.3</v>
      </c>
      <c r="E51" s="64">
        <f>E54+E55+E56+E57+E58+E59+E60+E61+E62+E63+E53+E52+E64+E65</f>
        <v>306.5</v>
      </c>
      <c r="F51" s="68">
        <f aca="true" t="shared" si="0" ref="F51:F67">C51+D51</f>
        <v>607871.8</v>
      </c>
    </row>
    <row r="52" spans="1:6" ht="38.25">
      <c r="A52" s="81" t="s">
        <v>320</v>
      </c>
      <c r="B52" s="49" t="s">
        <v>321</v>
      </c>
      <c r="C52" s="169">
        <v>43616</v>
      </c>
      <c r="D52" s="169"/>
      <c r="E52" s="169"/>
      <c r="F52" s="170">
        <f>C52+D52</f>
        <v>43616</v>
      </c>
    </row>
    <row r="53" spans="1:6" ht="38.25">
      <c r="A53" s="81" t="s">
        <v>309</v>
      </c>
      <c r="B53" s="49" t="s">
        <v>310</v>
      </c>
      <c r="C53" s="169">
        <f>27940.1-255.2+7.2+352.7</f>
        <v>28044.8</v>
      </c>
      <c r="D53" s="169">
        <f>E53</f>
        <v>306.5</v>
      </c>
      <c r="E53" s="169">
        <f>306.5</f>
        <v>306.5</v>
      </c>
      <c r="F53" s="170">
        <f>C53+D53</f>
        <v>28351.3</v>
      </c>
    </row>
    <row r="54" spans="1:6" ht="51">
      <c r="A54" s="81" t="s">
        <v>235</v>
      </c>
      <c r="B54" s="49" t="s">
        <v>236</v>
      </c>
      <c r="C54" s="169">
        <v>93935.5</v>
      </c>
      <c r="D54" s="169"/>
      <c r="E54" s="169"/>
      <c r="F54" s="170">
        <f t="shared" si="0"/>
        <v>93935.5</v>
      </c>
    </row>
    <row r="55" spans="1:6" ht="164.25" customHeight="1">
      <c r="A55" s="81">
        <v>41030700</v>
      </c>
      <c r="B55" s="146" t="s">
        <v>222</v>
      </c>
      <c r="C55" s="169">
        <v>6692.7</v>
      </c>
      <c r="D55" s="169"/>
      <c r="E55" s="169"/>
      <c r="F55" s="170">
        <f>C55+D55</f>
        <v>6692.7</v>
      </c>
    </row>
    <row r="56" spans="1:6" ht="297" customHeight="1">
      <c r="A56" s="81" t="s">
        <v>237</v>
      </c>
      <c r="B56" s="153" t="s">
        <v>3</v>
      </c>
      <c r="C56" s="169">
        <f>173905.7+21355.3</f>
        <v>195261</v>
      </c>
      <c r="D56" s="169"/>
      <c r="E56" s="169"/>
      <c r="F56" s="170">
        <f>C56+D56</f>
        <v>195261</v>
      </c>
    </row>
    <row r="57" spans="1:6" ht="177" customHeight="1">
      <c r="A57" s="81" t="s">
        <v>238</v>
      </c>
      <c r="B57" s="146" t="s">
        <v>300</v>
      </c>
      <c r="C57" s="169">
        <f>60229.2+5144.8</f>
        <v>65374</v>
      </c>
      <c r="D57" s="169"/>
      <c r="E57" s="169"/>
      <c r="F57" s="170">
        <f>C57+D57</f>
        <v>65374</v>
      </c>
    </row>
    <row r="58" spans="1:6" ht="122.25" customHeight="1">
      <c r="A58" s="81" t="s">
        <v>239</v>
      </c>
      <c r="B58" s="152" t="s">
        <v>240</v>
      </c>
      <c r="C58" s="191">
        <v>21042.2</v>
      </c>
      <c r="D58" s="191"/>
      <c r="E58" s="191"/>
      <c r="F58" s="170">
        <f>C58+D58</f>
        <v>21042.2</v>
      </c>
    </row>
    <row r="59" spans="1:6" ht="51.75" customHeight="1">
      <c r="A59" s="190">
        <v>41031900</v>
      </c>
      <c r="B59" s="50" t="s">
        <v>220</v>
      </c>
      <c r="C59" s="191">
        <v>10000</v>
      </c>
      <c r="D59" s="191"/>
      <c r="E59" s="191"/>
      <c r="F59" s="192">
        <f t="shared" si="0"/>
        <v>10000</v>
      </c>
    </row>
    <row r="60" spans="1:6" ht="55.5" customHeight="1">
      <c r="A60" s="81">
        <v>41033900</v>
      </c>
      <c r="B60" s="194" t="s">
        <v>221</v>
      </c>
      <c r="C60" s="169">
        <f>103623-94820.4</f>
        <v>8802.600000000006</v>
      </c>
      <c r="D60" s="169"/>
      <c r="E60" s="169"/>
      <c r="F60" s="170">
        <f t="shared" si="0"/>
        <v>8802.600000000006</v>
      </c>
    </row>
    <row r="61" spans="1:6" ht="27.75" customHeight="1">
      <c r="A61" s="81">
        <v>41034000</v>
      </c>
      <c r="B61" s="146" t="s">
        <v>212</v>
      </c>
      <c r="C61" s="169">
        <v>11000</v>
      </c>
      <c r="D61" s="169"/>
      <c r="E61" s="169"/>
      <c r="F61" s="170">
        <f t="shared" si="0"/>
        <v>11000</v>
      </c>
    </row>
    <row r="62" spans="1:6" ht="38.25">
      <c r="A62" s="81">
        <v>41034500</v>
      </c>
      <c r="B62" s="146" t="s">
        <v>219</v>
      </c>
      <c r="C62" s="169">
        <v>340</v>
      </c>
      <c r="D62" s="169"/>
      <c r="E62" s="169"/>
      <c r="F62" s="170">
        <f t="shared" si="0"/>
        <v>340</v>
      </c>
    </row>
    <row r="63" spans="1:6" ht="38.25">
      <c r="A63" s="81" t="s">
        <v>241</v>
      </c>
      <c r="B63" s="152" t="s">
        <v>242</v>
      </c>
      <c r="C63" s="169"/>
      <c r="D63" s="169">
        <v>9037.8</v>
      </c>
      <c r="E63" s="169"/>
      <c r="F63" s="170">
        <f t="shared" si="0"/>
        <v>9037.8</v>
      </c>
    </row>
    <row r="64" spans="1:6" ht="76.5">
      <c r="A64" s="83" t="s">
        <v>322</v>
      </c>
      <c r="B64" s="146" t="s">
        <v>323</v>
      </c>
      <c r="C64" s="177">
        <v>33441</v>
      </c>
      <c r="D64" s="177"/>
      <c r="E64" s="177"/>
      <c r="F64" s="170">
        <f t="shared" si="0"/>
        <v>33441</v>
      </c>
    </row>
    <row r="65" spans="1:6" ht="12.75">
      <c r="A65" s="83" t="s">
        <v>332</v>
      </c>
      <c r="B65" s="146" t="s">
        <v>316</v>
      </c>
      <c r="C65" s="177">
        <f>2703.7+109+5965</f>
        <v>8777.7</v>
      </c>
      <c r="D65" s="177"/>
      <c r="E65" s="177"/>
      <c r="F65" s="170">
        <f t="shared" si="0"/>
        <v>8777.7</v>
      </c>
    </row>
    <row r="66" spans="1:6" ht="27" customHeight="1">
      <c r="A66" s="83" t="s">
        <v>275</v>
      </c>
      <c r="B66" s="146" t="s">
        <v>336</v>
      </c>
      <c r="C66" s="177">
        <v>42200</v>
      </c>
      <c r="D66" s="177"/>
      <c r="E66" s="177"/>
      <c r="F66" s="170">
        <f t="shared" si="0"/>
        <v>42200</v>
      </c>
    </row>
    <row r="67" spans="1:6" ht="42" customHeight="1">
      <c r="A67" s="83" t="s">
        <v>274</v>
      </c>
      <c r="B67" s="152" t="s">
        <v>339</v>
      </c>
      <c r="C67" s="177">
        <v>30000</v>
      </c>
      <c r="D67" s="177"/>
      <c r="E67" s="177"/>
      <c r="F67" s="170">
        <f t="shared" si="0"/>
        <v>30000</v>
      </c>
    </row>
    <row r="68" spans="1:6" ht="27" customHeight="1" hidden="1">
      <c r="A68" s="83"/>
      <c r="B68" s="195"/>
      <c r="C68" s="177"/>
      <c r="D68" s="177"/>
      <c r="E68" s="177"/>
      <c r="F68" s="170"/>
    </row>
    <row r="69" spans="1:6" ht="27.75" customHeight="1" thickBot="1">
      <c r="A69" s="196">
        <v>43010000</v>
      </c>
      <c r="B69" s="197" t="s">
        <v>193</v>
      </c>
      <c r="C69" s="198" t="s">
        <v>164</v>
      </c>
      <c r="D69" s="198">
        <f>60032.7+900+30+1650+119+1500+30+100+4654+300</f>
        <v>69315.7</v>
      </c>
      <c r="E69" s="198">
        <f>60032.7+900+30+1650+119+1500+30+100+4654+300</f>
        <v>69315.7</v>
      </c>
      <c r="F69" s="199">
        <f>D69</f>
        <v>69315.7</v>
      </c>
    </row>
    <row r="70" spans="1:6" s="67" customFormat="1" ht="13.5" thickBot="1">
      <c r="A70" s="371" t="s">
        <v>194</v>
      </c>
      <c r="B70" s="372"/>
      <c r="C70" s="181">
        <f>C45+C47</f>
        <v>1148565.7000000002</v>
      </c>
      <c r="D70" s="181">
        <f>D45+D47</f>
        <v>167374.3</v>
      </c>
      <c r="E70" s="181">
        <f>E47+E45</f>
        <v>70622.2</v>
      </c>
      <c r="F70" s="182">
        <f>C70+D70</f>
        <v>1315940.0000000002</v>
      </c>
    </row>
    <row r="72" spans="3:6" ht="12">
      <c r="C72" s="200"/>
      <c r="D72" s="200"/>
      <c r="E72" s="201"/>
      <c r="F72" s="201"/>
    </row>
  </sheetData>
  <mergeCells count="10">
    <mergeCell ref="D1:F1"/>
    <mergeCell ref="D2:F2"/>
    <mergeCell ref="D3:F3"/>
    <mergeCell ref="A70:B70"/>
    <mergeCell ref="A45:B45"/>
    <mergeCell ref="E4:F4"/>
    <mergeCell ref="A10:A11"/>
    <mergeCell ref="B10:B11"/>
    <mergeCell ref="C10:C11"/>
    <mergeCell ref="F10:F11"/>
  </mergeCells>
  <printOptions/>
  <pageMargins left="0.5905511811023623" right="0.5905511811023623" top="0.3937007874015748" bottom="0.21" header="0.1968503937007874" footer="0.11811023622047245"/>
  <pageSetup horizontalDpi="600" verticalDpi="600" orientation="portrait" paperSize="9" scale="90" r:id="rId1"/>
  <rowBreaks count="1" manualBreakCount="1">
    <brk id="48" max="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M477"/>
  <sheetViews>
    <sheetView view="pageBreakPreview" zoomScale="75" zoomScaleNormal="65" zoomScaleSheetLayoutView="75" workbookViewId="0" topLeftCell="A72">
      <selection activeCell="A73" sqref="A73"/>
    </sheetView>
  </sheetViews>
  <sheetFormatPr defaultColWidth="9.00390625" defaultRowHeight="12.75"/>
  <cols>
    <col min="1" max="1" width="8.125" style="70" customWidth="1"/>
    <col min="2" max="2" width="34.25390625" style="2" customWidth="1"/>
    <col min="3" max="3" width="10.875" style="3" customWidth="1"/>
    <col min="4" max="4" width="9.25390625" style="3" customWidth="1"/>
    <col min="5" max="5" width="8.25390625" style="3" customWidth="1"/>
    <col min="6" max="6" width="9.75390625" style="3" customWidth="1"/>
    <col min="7" max="7" width="8.00390625" style="3" customWidth="1"/>
    <col min="8" max="8" width="9.875" style="3" bestFit="1" customWidth="1"/>
    <col min="9" max="9" width="8.75390625" style="3" customWidth="1"/>
    <col min="10" max="10" width="6.125" style="3" customWidth="1"/>
    <col min="11" max="11" width="12.00390625" style="3" customWidth="1"/>
    <col min="12" max="12" width="10.75390625" style="3" customWidth="1"/>
    <col min="13" max="16384" width="8.875" style="3" customWidth="1"/>
  </cols>
  <sheetData>
    <row r="1" spans="8:10" ht="12" customHeight="1">
      <c r="H1" s="389" t="s">
        <v>4</v>
      </c>
      <c r="I1" s="389"/>
      <c r="J1" s="389"/>
    </row>
    <row r="2" spans="8:10" ht="16.5" customHeight="1">
      <c r="H2" s="5" t="s">
        <v>5</v>
      </c>
      <c r="I2" s="5"/>
      <c r="J2" s="5"/>
    </row>
    <row r="3" spans="8:11" ht="12.75">
      <c r="H3" s="370" t="s">
        <v>307</v>
      </c>
      <c r="I3" s="370"/>
      <c r="J3" s="370"/>
      <c r="K3" s="370"/>
    </row>
    <row r="5" spans="2:8" ht="13.5" customHeight="1">
      <c r="B5" s="1"/>
      <c r="C5" s="7"/>
      <c r="D5" s="7"/>
      <c r="E5" s="7"/>
      <c r="F5" s="7"/>
      <c r="G5" s="7"/>
      <c r="H5" s="7"/>
    </row>
    <row r="6" spans="1:11" ht="15.75">
      <c r="A6" s="390" t="s">
        <v>199</v>
      </c>
      <c r="B6" s="390"/>
      <c r="C6" s="390"/>
      <c r="D6" s="390"/>
      <c r="E6" s="390"/>
      <c r="F6" s="390"/>
      <c r="G6" s="390"/>
      <c r="H6" s="390"/>
      <c r="I6" s="390"/>
      <c r="J6" s="390"/>
      <c r="K6" s="390"/>
    </row>
    <row r="7" spans="1:12" ht="15" customHeight="1">
      <c r="A7" s="390" t="s">
        <v>6</v>
      </c>
      <c r="B7" s="390"/>
      <c r="C7" s="390"/>
      <c r="D7" s="390"/>
      <c r="E7" s="390"/>
      <c r="F7" s="390"/>
      <c r="G7" s="390"/>
      <c r="H7" s="390"/>
      <c r="I7" s="390"/>
      <c r="J7" s="390"/>
      <c r="K7" s="390"/>
      <c r="L7" s="8"/>
    </row>
    <row r="8" spans="6:12" ht="13.5" thickBot="1">
      <c r="F8" s="9"/>
      <c r="G8" s="9"/>
      <c r="I8" s="10"/>
      <c r="J8" s="11" t="s">
        <v>7</v>
      </c>
      <c r="K8" s="3" t="s">
        <v>201</v>
      </c>
      <c r="L8" s="8"/>
    </row>
    <row r="9" spans="1:12" ht="25.5" customHeight="1" thickBot="1">
      <c r="A9" s="391" t="s">
        <v>8</v>
      </c>
      <c r="B9" s="394" t="s">
        <v>9</v>
      </c>
      <c r="C9" s="396" t="s">
        <v>10</v>
      </c>
      <c r="D9" s="359"/>
      <c r="E9" s="359"/>
      <c r="F9" s="359"/>
      <c r="G9" s="360"/>
      <c r="H9" s="361" t="s">
        <v>11</v>
      </c>
      <c r="I9" s="362"/>
      <c r="J9" s="363"/>
      <c r="K9" s="394" t="s">
        <v>12</v>
      </c>
      <c r="L9" s="12"/>
    </row>
    <row r="10" spans="1:12" ht="24" customHeight="1" thickBot="1">
      <c r="A10" s="392"/>
      <c r="B10" s="395"/>
      <c r="C10" s="381" t="s">
        <v>13</v>
      </c>
      <c r="D10" s="381" t="s">
        <v>14</v>
      </c>
      <c r="E10" s="382"/>
      <c r="F10" s="382"/>
      <c r="G10" s="383"/>
      <c r="H10" s="384" t="s">
        <v>13</v>
      </c>
      <c r="I10" s="13" t="s">
        <v>15</v>
      </c>
      <c r="J10" s="385" t="s">
        <v>16</v>
      </c>
      <c r="K10" s="395"/>
      <c r="L10" s="12"/>
    </row>
    <row r="11" spans="1:12" ht="98.25" customHeight="1" thickBot="1">
      <c r="A11" s="393"/>
      <c r="B11" s="395"/>
      <c r="C11" s="384"/>
      <c r="D11" s="14" t="s">
        <v>17</v>
      </c>
      <c r="E11" s="15" t="s">
        <v>18</v>
      </c>
      <c r="F11" s="15" t="s">
        <v>19</v>
      </c>
      <c r="G11" s="15" t="s">
        <v>20</v>
      </c>
      <c r="H11" s="384"/>
      <c r="I11" s="15" t="s">
        <v>21</v>
      </c>
      <c r="J11" s="386"/>
      <c r="K11" s="364"/>
      <c r="L11" s="12"/>
    </row>
    <row r="12" spans="1:12" ht="13.5" thickBot="1">
      <c r="A12" s="71">
        <v>1</v>
      </c>
      <c r="B12" s="16">
        <v>2</v>
      </c>
      <c r="C12" s="17">
        <v>3</v>
      </c>
      <c r="D12" s="17">
        <v>4</v>
      </c>
      <c r="E12" s="17">
        <v>5</v>
      </c>
      <c r="F12" s="17">
        <v>6</v>
      </c>
      <c r="G12" s="17">
        <v>7</v>
      </c>
      <c r="H12" s="17">
        <v>8</v>
      </c>
      <c r="I12" s="17">
        <v>9</v>
      </c>
      <c r="J12" s="17">
        <v>10</v>
      </c>
      <c r="K12" s="17">
        <v>11</v>
      </c>
      <c r="L12" s="8"/>
    </row>
    <row r="13" spans="1:12" s="19" customFormat="1" ht="15.75" customHeight="1">
      <c r="A13" s="75" t="s">
        <v>22</v>
      </c>
      <c r="B13" s="54" t="s">
        <v>23</v>
      </c>
      <c r="C13" s="47">
        <f>C14</f>
        <v>3868.8</v>
      </c>
      <c r="D13" s="47">
        <f aca="true" t="shared" si="0" ref="D13:J13">D14</f>
        <v>559.1</v>
      </c>
      <c r="E13" s="47">
        <f t="shared" si="0"/>
        <v>991.6</v>
      </c>
      <c r="F13" s="47">
        <f>3868.8-D13-E13</f>
        <v>2318.1000000000004</v>
      </c>
      <c r="G13" s="47">
        <f t="shared" si="0"/>
        <v>0</v>
      </c>
      <c r="H13" s="47">
        <f t="shared" si="0"/>
        <v>0</v>
      </c>
      <c r="I13" s="47">
        <f t="shared" si="0"/>
        <v>0</v>
      </c>
      <c r="J13" s="47">
        <f t="shared" si="0"/>
        <v>0</v>
      </c>
      <c r="K13" s="76">
        <f>C13+H13</f>
        <v>3868.8</v>
      </c>
      <c r="L13" s="18"/>
    </row>
    <row r="14" spans="1:13" ht="12.75">
      <c r="A14" s="77" t="s">
        <v>24</v>
      </c>
      <c r="B14" s="20" t="s">
        <v>25</v>
      </c>
      <c r="C14" s="46">
        <f>D14+E14+F14+G14</f>
        <v>3868.8</v>
      </c>
      <c r="D14" s="46">
        <f>539.7+19.4</f>
        <v>559.1</v>
      </c>
      <c r="E14" s="46">
        <v>991.6</v>
      </c>
      <c r="F14" s="46">
        <f>2237.5+80.6</f>
        <v>2318.1</v>
      </c>
      <c r="G14" s="46"/>
      <c r="H14" s="46"/>
      <c r="I14" s="46"/>
      <c r="J14" s="46"/>
      <c r="K14" s="78">
        <f aca="true" t="shared" si="1" ref="K14:K87">C14+H14</f>
        <v>3868.8</v>
      </c>
      <c r="L14" s="8"/>
      <c r="M14" s="21"/>
    </row>
    <row r="15" spans="1:13" ht="25.5" customHeight="1">
      <c r="A15" s="79" t="s">
        <v>26</v>
      </c>
      <c r="B15" s="26" t="s">
        <v>27</v>
      </c>
      <c r="C15" s="47">
        <f>C16</f>
        <v>6183.1</v>
      </c>
      <c r="D15" s="47">
        <f aca="true" t="shared" si="2" ref="D15:I15">D16</f>
        <v>0</v>
      </c>
      <c r="E15" s="47">
        <f t="shared" si="2"/>
        <v>0</v>
      </c>
      <c r="F15" s="47">
        <f t="shared" si="2"/>
        <v>5600</v>
      </c>
      <c r="G15" s="47">
        <f t="shared" si="2"/>
        <v>583.1</v>
      </c>
      <c r="H15" s="47">
        <f t="shared" si="2"/>
        <v>0</v>
      </c>
      <c r="I15" s="47">
        <f t="shared" si="2"/>
        <v>0</v>
      </c>
      <c r="J15" s="47"/>
      <c r="K15" s="76">
        <f t="shared" si="1"/>
        <v>6183.1</v>
      </c>
      <c r="L15" s="8"/>
      <c r="M15" s="21"/>
    </row>
    <row r="16" spans="1:13" ht="25.5" customHeight="1">
      <c r="A16" s="77" t="s">
        <v>28</v>
      </c>
      <c r="B16" s="51" t="s">
        <v>29</v>
      </c>
      <c r="C16" s="46">
        <f>D16+E16+F16+G16</f>
        <v>6183.1</v>
      </c>
      <c r="D16" s="46"/>
      <c r="E16" s="46"/>
      <c r="F16" s="46">
        <f>4200-900+800+1500</f>
        <v>5600</v>
      </c>
      <c r="G16" s="46">
        <f>590.1-7</f>
        <v>583.1</v>
      </c>
      <c r="H16" s="46"/>
      <c r="I16" s="46"/>
      <c r="J16" s="46"/>
      <c r="K16" s="78">
        <f t="shared" si="1"/>
        <v>6183.1</v>
      </c>
      <c r="L16" s="8"/>
      <c r="M16" s="21"/>
    </row>
    <row r="17" spans="1:12" s="21" customFormat="1" ht="12.75">
      <c r="A17" s="79" t="s">
        <v>30</v>
      </c>
      <c r="B17" s="55" t="s">
        <v>31</v>
      </c>
      <c r="C17" s="47">
        <f>D17+E17+F17+G17</f>
        <v>107644</v>
      </c>
      <c r="D17" s="47">
        <f>41584.4+1828.4</f>
        <v>43412.8</v>
      </c>
      <c r="E17" s="47">
        <v>9610</v>
      </c>
      <c r="F17" s="47">
        <f>43696.4+250+14.9+1600+186.5+2159+1900+50</f>
        <v>49856.8</v>
      </c>
      <c r="G17" s="47">
        <f>4713.4+46+5</f>
        <v>4764.4</v>
      </c>
      <c r="H17" s="47">
        <f>2903.6+266.6+891.8+197+64.8</f>
        <v>4323.8</v>
      </c>
      <c r="I17" s="47"/>
      <c r="J17" s="47"/>
      <c r="K17" s="76">
        <f t="shared" si="1"/>
        <v>111967.8</v>
      </c>
      <c r="L17" s="23"/>
    </row>
    <row r="18" spans="1:12" s="21" customFormat="1" ht="12.75">
      <c r="A18" s="79" t="s">
        <v>32</v>
      </c>
      <c r="B18" s="55" t="s">
        <v>33</v>
      </c>
      <c r="C18" s="47">
        <f>D18+E18+F18+G18</f>
        <v>241287.10000000003</v>
      </c>
      <c r="D18" s="47">
        <f>87906.8+4207</f>
        <v>92113.8</v>
      </c>
      <c r="E18" s="47">
        <v>17357.2</v>
      </c>
      <c r="F18" s="47">
        <f>101629.8+1000+150+1200+1556.6+400+16174</f>
        <v>122110.40000000001</v>
      </c>
      <c r="G18" s="47">
        <f>9687.9-37+7.2+38.6+9</f>
        <v>9705.7</v>
      </c>
      <c r="H18" s="47">
        <f>8103+10000-10000</f>
        <v>8103</v>
      </c>
      <c r="I18" s="47">
        <f>10000-10000</f>
        <v>0</v>
      </c>
      <c r="J18" s="47"/>
      <c r="K18" s="76">
        <f t="shared" si="1"/>
        <v>249390.10000000003</v>
      </c>
      <c r="L18" s="23"/>
    </row>
    <row r="19" spans="1:12" s="21" customFormat="1" ht="27" customHeight="1">
      <c r="A19" s="79" t="s">
        <v>34</v>
      </c>
      <c r="B19" s="55" t="s">
        <v>35</v>
      </c>
      <c r="C19" s="47">
        <f>C20+C21+C22+C23+C25+C26+C27+C28+C29+C30+C31+C32+C33+C34+C35+C36+C37+C38+C39+C24</f>
        <v>66946.4</v>
      </c>
      <c r="D19" s="47">
        <f>D20+D21+D22+D23+D25+D26+D27+D28+D29+D30+D31+D32+D33+D34+D35+D36+D37+D38+D39</f>
        <v>16427.5</v>
      </c>
      <c r="E19" s="47">
        <f>E20+E21+E22+E23+E25+E26+E27+E28+E29+E30+E31+E32+E33+E34+E35+E36+E37+E38+E39</f>
        <v>5240</v>
      </c>
      <c r="F19" s="47">
        <f>F20+F21+F22+F23+F25+F26+F27+F28+F29+F30+F31+F32+F33+F34+F35+F36+F37+F38+F39+F24</f>
        <v>45274</v>
      </c>
      <c r="G19" s="47">
        <f>G20+G21+G22+G23+G25+G26+G27+G28+G29+G30+G31+G32+G33+G34+G35+G36+G37+G38+G39</f>
        <v>4.9</v>
      </c>
      <c r="H19" s="47">
        <f>H20+H21+H22+H23+H25+H26+H27+H28+H29+H30+H31+H32+H33+H34+H35+H36+H37+H38+H39+H24</f>
        <v>6757.1</v>
      </c>
      <c r="I19" s="47">
        <f>I20+I21+I22+I23+I25+I26+I27+I28+I29+I30+I31+I32+I33+I34+I35+I36+I37+I38+I39</f>
        <v>0</v>
      </c>
      <c r="J19" s="47"/>
      <c r="K19" s="76">
        <f>C19+H19</f>
        <v>73703.5</v>
      </c>
      <c r="L19" s="23"/>
    </row>
    <row r="20" spans="1:13" ht="25.5">
      <c r="A20" s="77" t="s">
        <v>36</v>
      </c>
      <c r="B20" s="20" t="s">
        <v>37</v>
      </c>
      <c r="C20" s="46">
        <f>D20+E20+F20</f>
        <v>9.6</v>
      </c>
      <c r="D20" s="46"/>
      <c r="E20" s="46"/>
      <c r="F20" s="46">
        <v>9.6</v>
      </c>
      <c r="G20" s="46"/>
      <c r="H20" s="46"/>
      <c r="I20" s="46"/>
      <c r="J20" s="46"/>
      <c r="K20" s="78">
        <f t="shared" si="1"/>
        <v>9.6</v>
      </c>
      <c r="L20" s="8"/>
      <c r="M20" s="21"/>
    </row>
    <row r="21" spans="1:13" ht="25.5">
      <c r="A21" s="77" t="s">
        <v>284</v>
      </c>
      <c r="B21" s="20" t="s">
        <v>285</v>
      </c>
      <c r="C21" s="46">
        <f>D21+E21+F21</f>
        <v>8802.600000000006</v>
      </c>
      <c r="D21" s="46"/>
      <c r="E21" s="46"/>
      <c r="F21" s="46">
        <f>103623-94820.4</f>
        <v>8802.600000000006</v>
      </c>
      <c r="G21" s="46"/>
      <c r="H21" s="46"/>
      <c r="I21" s="46"/>
      <c r="J21" s="46"/>
      <c r="K21" s="78">
        <f t="shared" si="1"/>
        <v>8802.600000000006</v>
      </c>
      <c r="L21" s="8"/>
      <c r="M21" s="21"/>
    </row>
    <row r="22" spans="1:13" ht="25.5" customHeight="1">
      <c r="A22" s="77" t="s">
        <v>38</v>
      </c>
      <c r="B22" s="20" t="s">
        <v>40</v>
      </c>
      <c r="C22" s="46">
        <f>D22+E22+F22+G22</f>
        <v>1080.9</v>
      </c>
      <c r="D22" s="46"/>
      <c r="E22" s="46"/>
      <c r="F22" s="46">
        <f>27+50+720+13+256+10</f>
        <v>1076</v>
      </c>
      <c r="G22" s="46">
        <v>4.9</v>
      </c>
      <c r="H22" s="46">
        <v>205</v>
      </c>
      <c r="I22" s="46"/>
      <c r="J22" s="46"/>
      <c r="K22" s="78">
        <f t="shared" si="1"/>
        <v>1285.9</v>
      </c>
      <c r="L22" s="8"/>
      <c r="M22" s="21"/>
    </row>
    <row r="23" spans="1:13" ht="38.25" customHeight="1">
      <c r="A23" s="77" t="s">
        <v>41</v>
      </c>
      <c r="B23" s="20" t="s">
        <v>42</v>
      </c>
      <c r="C23" s="46">
        <f aca="true" t="shared" si="3" ref="C23:C39">D23+E23+F23</f>
        <v>1012.4000000000001</v>
      </c>
      <c r="D23" s="46"/>
      <c r="E23" s="46"/>
      <c r="F23" s="46">
        <f>518.7+493.7</f>
        <v>1012.4000000000001</v>
      </c>
      <c r="G23" s="46"/>
      <c r="H23" s="46"/>
      <c r="I23" s="46"/>
      <c r="J23" s="46"/>
      <c r="K23" s="78">
        <f t="shared" si="1"/>
        <v>1012.4000000000001</v>
      </c>
      <c r="L23" s="8"/>
      <c r="M23" s="21"/>
    </row>
    <row r="24" spans="1:13" ht="26.25" customHeight="1">
      <c r="A24" s="77" t="s">
        <v>334</v>
      </c>
      <c r="B24" s="20" t="s">
        <v>335</v>
      </c>
      <c r="C24" s="46">
        <f t="shared" si="3"/>
        <v>1068.3</v>
      </c>
      <c r="D24" s="46"/>
      <c r="E24" s="46"/>
      <c r="F24" s="46">
        <v>1068.3</v>
      </c>
      <c r="G24" s="46"/>
      <c r="H24" s="46"/>
      <c r="I24" s="46"/>
      <c r="J24" s="46"/>
      <c r="K24" s="78">
        <f t="shared" si="1"/>
        <v>1068.3</v>
      </c>
      <c r="L24" s="8"/>
      <c r="M24" s="21"/>
    </row>
    <row r="25" spans="1:13" ht="25.5">
      <c r="A25" s="77" t="s">
        <v>286</v>
      </c>
      <c r="B25" s="20" t="s">
        <v>287</v>
      </c>
      <c r="C25" s="46">
        <f t="shared" si="3"/>
        <v>8361.5</v>
      </c>
      <c r="D25" s="46">
        <f>2746.1+171.7</f>
        <v>2917.7999999999997</v>
      </c>
      <c r="E25" s="46">
        <v>657.8</v>
      </c>
      <c r="F25" s="46">
        <f>4220.3+63.6+502</f>
        <v>4785.900000000001</v>
      </c>
      <c r="G25" s="46"/>
      <c r="H25" s="46">
        <v>435.4</v>
      </c>
      <c r="I25" s="46"/>
      <c r="J25" s="46"/>
      <c r="K25" s="78">
        <f t="shared" si="1"/>
        <v>8796.9</v>
      </c>
      <c r="L25" s="8"/>
      <c r="M25" s="21"/>
    </row>
    <row r="26" spans="1:13" ht="12.75">
      <c r="A26" s="77" t="s">
        <v>47</v>
      </c>
      <c r="B26" s="20" t="s">
        <v>48</v>
      </c>
      <c r="C26" s="46">
        <f>D26+E26+F26</f>
        <v>6148.7</v>
      </c>
      <c r="D26" s="46">
        <v>2096.7</v>
      </c>
      <c r="E26" s="46">
        <v>669</v>
      </c>
      <c r="F26" s="46">
        <v>3383</v>
      </c>
      <c r="G26" s="46"/>
      <c r="H26" s="46">
        <v>13.2</v>
      </c>
      <c r="I26" s="46"/>
      <c r="J26" s="46"/>
      <c r="K26" s="78">
        <f>C26+H26</f>
        <v>6161.9</v>
      </c>
      <c r="L26" s="8"/>
      <c r="M26" s="21"/>
    </row>
    <row r="27" spans="1:13" ht="38.25">
      <c r="A27" s="77" t="s">
        <v>288</v>
      </c>
      <c r="B27" s="20" t="s">
        <v>289</v>
      </c>
      <c r="C27" s="46">
        <f>D27+E27+F27</f>
        <v>36136.299999999996</v>
      </c>
      <c r="D27" s="46">
        <f>9812.9+494.8</f>
        <v>10307.699999999999</v>
      </c>
      <c r="E27" s="46">
        <v>3796.7</v>
      </c>
      <c r="F27" s="46">
        <f>19224.8+183.1+2716+410-502</f>
        <v>22031.899999999998</v>
      </c>
      <c r="G27" s="46"/>
      <c r="H27" s="46">
        <v>5906.5</v>
      </c>
      <c r="I27" s="46"/>
      <c r="J27" s="46"/>
      <c r="K27" s="78">
        <f>C27+H27</f>
        <v>42042.799999999996</v>
      </c>
      <c r="L27" s="8"/>
      <c r="M27" s="21"/>
    </row>
    <row r="28" spans="1:13" ht="25.5">
      <c r="A28" s="77" t="s">
        <v>257</v>
      </c>
      <c r="B28" s="20" t="s">
        <v>258</v>
      </c>
      <c r="C28" s="46">
        <f t="shared" si="3"/>
        <v>281.9</v>
      </c>
      <c r="D28" s="46">
        <v>155.7</v>
      </c>
      <c r="E28" s="46">
        <v>11</v>
      </c>
      <c r="F28" s="46">
        <v>115.2</v>
      </c>
      <c r="G28" s="46"/>
      <c r="H28" s="46"/>
      <c r="I28" s="46"/>
      <c r="J28" s="46"/>
      <c r="K28" s="78">
        <f t="shared" si="1"/>
        <v>281.9</v>
      </c>
      <c r="L28" s="8"/>
      <c r="M28" s="21"/>
    </row>
    <row r="29" spans="1:13" ht="25.5">
      <c r="A29" s="77" t="s">
        <v>259</v>
      </c>
      <c r="B29" s="20" t="s">
        <v>290</v>
      </c>
      <c r="C29" s="46">
        <f t="shared" si="3"/>
        <v>152.7</v>
      </c>
      <c r="D29" s="46"/>
      <c r="E29" s="46"/>
      <c r="F29" s="46">
        <v>152.7</v>
      </c>
      <c r="G29" s="46"/>
      <c r="H29" s="46"/>
      <c r="I29" s="46"/>
      <c r="J29" s="46"/>
      <c r="K29" s="78">
        <f t="shared" si="1"/>
        <v>152.7</v>
      </c>
      <c r="L29" s="8"/>
      <c r="M29" s="21"/>
    </row>
    <row r="30" spans="1:13" ht="38.25">
      <c r="A30" s="77" t="s">
        <v>260</v>
      </c>
      <c r="B30" s="20" t="s">
        <v>291</v>
      </c>
      <c r="C30" s="46">
        <f t="shared" si="3"/>
        <v>408.1</v>
      </c>
      <c r="D30" s="46"/>
      <c r="E30" s="46"/>
      <c r="F30" s="46">
        <f>374.1-48.1+82.1</f>
        <v>408.1</v>
      </c>
      <c r="G30" s="46"/>
      <c r="H30" s="46"/>
      <c r="I30" s="46"/>
      <c r="J30" s="46"/>
      <c r="K30" s="78">
        <f t="shared" si="1"/>
        <v>408.1</v>
      </c>
      <c r="L30" s="8"/>
      <c r="M30" s="21"/>
    </row>
    <row r="31" spans="1:13" ht="38.25">
      <c r="A31" s="77" t="s">
        <v>261</v>
      </c>
      <c r="B31" s="20" t="s">
        <v>292</v>
      </c>
      <c r="C31" s="46">
        <f t="shared" si="3"/>
        <v>30</v>
      </c>
      <c r="D31" s="46"/>
      <c r="E31" s="46"/>
      <c r="F31" s="46">
        <v>30</v>
      </c>
      <c r="G31" s="46"/>
      <c r="H31" s="46"/>
      <c r="I31" s="46"/>
      <c r="J31" s="46"/>
      <c r="K31" s="78">
        <f t="shared" si="1"/>
        <v>30</v>
      </c>
      <c r="L31" s="8"/>
      <c r="M31" s="21"/>
    </row>
    <row r="32" spans="1:13" ht="25.5">
      <c r="A32" s="77" t="s">
        <v>263</v>
      </c>
      <c r="B32" s="20" t="s">
        <v>264</v>
      </c>
      <c r="C32" s="46">
        <f t="shared" si="3"/>
        <v>500.4</v>
      </c>
      <c r="D32" s="46">
        <f>105.2+7.9+20.1</f>
        <v>133.20000000000002</v>
      </c>
      <c r="E32" s="46">
        <f>14+2</f>
        <v>16</v>
      </c>
      <c r="F32" s="46">
        <f>301.7-2+3+28+20.5</f>
        <v>351.2</v>
      </c>
      <c r="G32" s="46"/>
      <c r="H32" s="46"/>
      <c r="I32" s="46"/>
      <c r="J32" s="46"/>
      <c r="K32" s="78">
        <f t="shared" si="1"/>
        <v>500.4</v>
      </c>
      <c r="L32" s="8"/>
      <c r="M32" s="21"/>
    </row>
    <row r="33" spans="1:13" ht="12.75">
      <c r="A33" s="77" t="s">
        <v>265</v>
      </c>
      <c r="B33" s="20" t="s">
        <v>266</v>
      </c>
      <c r="C33" s="46">
        <f t="shared" si="3"/>
        <v>300.9</v>
      </c>
      <c r="D33" s="46">
        <f>38.1+0.7</f>
        <v>38.800000000000004</v>
      </c>
      <c r="E33" s="46">
        <v>21.1</v>
      </c>
      <c r="F33" s="46">
        <f>150-59.2+0.2+150</f>
        <v>241</v>
      </c>
      <c r="G33" s="46"/>
      <c r="H33" s="46"/>
      <c r="I33" s="46"/>
      <c r="J33" s="46"/>
      <c r="K33" s="78">
        <f t="shared" si="1"/>
        <v>300.9</v>
      </c>
      <c r="L33" s="8"/>
      <c r="M33" s="21"/>
    </row>
    <row r="34" spans="1:13" ht="38.25">
      <c r="A34" s="77" t="s">
        <v>267</v>
      </c>
      <c r="B34" s="20" t="s">
        <v>268</v>
      </c>
      <c r="C34" s="46">
        <f t="shared" si="3"/>
        <v>40</v>
      </c>
      <c r="D34" s="46"/>
      <c r="E34" s="46"/>
      <c r="F34" s="46">
        <v>40</v>
      </c>
      <c r="G34" s="46"/>
      <c r="H34" s="46"/>
      <c r="I34" s="46"/>
      <c r="J34" s="46"/>
      <c r="K34" s="78">
        <f t="shared" si="1"/>
        <v>40</v>
      </c>
      <c r="L34" s="8"/>
      <c r="M34" s="21"/>
    </row>
    <row r="35" spans="1:13" ht="91.5" customHeight="1">
      <c r="A35" s="77" t="s">
        <v>43</v>
      </c>
      <c r="B35" s="20" t="s">
        <v>208</v>
      </c>
      <c r="C35" s="46">
        <f>D35+E35+F35</f>
        <v>500</v>
      </c>
      <c r="D35" s="46"/>
      <c r="E35" s="46"/>
      <c r="F35" s="46">
        <v>500</v>
      </c>
      <c r="G35" s="46"/>
      <c r="H35" s="46"/>
      <c r="I35" s="46"/>
      <c r="J35" s="46"/>
      <c r="K35" s="78">
        <f>C35+H35</f>
        <v>500</v>
      </c>
      <c r="L35" s="8"/>
      <c r="M35" s="21"/>
    </row>
    <row r="36" spans="1:13" ht="25.5">
      <c r="A36" s="77" t="s">
        <v>44</v>
      </c>
      <c r="B36" s="20" t="s">
        <v>45</v>
      </c>
      <c r="C36" s="46">
        <f>D36+E36+F36</f>
        <v>100.1</v>
      </c>
      <c r="D36" s="46"/>
      <c r="E36" s="46"/>
      <c r="F36" s="46">
        <f>50.1+50</f>
        <v>100.1</v>
      </c>
      <c r="G36" s="46"/>
      <c r="H36" s="46"/>
      <c r="I36" s="46"/>
      <c r="J36" s="46"/>
      <c r="K36" s="78">
        <f>C36+H36</f>
        <v>100.1</v>
      </c>
      <c r="L36" s="8"/>
      <c r="M36" s="21"/>
    </row>
    <row r="37" spans="1:13" ht="38.25">
      <c r="A37" s="77" t="s">
        <v>293</v>
      </c>
      <c r="B37" s="20" t="s">
        <v>294</v>
      </c>
      <c r="C37" s="46">
        <f>D37+E37+F37</f>
        <v>12.1</v>
      </c>
      <c r="D37" s="46">
        <v>8.6</v>
      </c>
      <c r="E37" s="46"/>
      <c r="F37" s="46">
        <v>3.5</v>
      </c>
      <c r="G37" s="46"/>
      <c r="H37" s="46"/>
      <c r="I37" s="46"/>
      <c r="J37" s="46"/>
      <c r="K37" s="78">
        <f>C37+H37</f>
        <v>12.1</v>
      </c>
      <c r="L37" s="8"/>
      <c r="M37" s="21"/>
    </row>
    <row r="38" spans="1:13" ht="12.75">
      <c r="A38" s="77" t="s">
        <v>269</v>
      </c>
      <c r="B38" s="20" t="s">
        <v>270</v>
      </c>
      <c r="C38" s="46">
        <f t="shared" si="3"/>
        <v>26.700000000000003</v>
      </c>
      <c r="D38" s="46">
        <f>16.6+0.9</f>
        <v>17.5</v>
      </c>
      <c r="E38" s="46"/>
      <c r="F38" s="46">
        <f>8.9+0.3</f>
        <v>9.200000000000001</v>
      </c>
      <c r="G38" s="46"/>
      <c r="H38" s="46"/>
      <c r="I38" s="46"/>
      <c r="J38" s="46"/>
      <c r="K38" s="78">
        <f t="shared" si="1"/>
        <v>26.700000000000003</v>
      </c>
      <c r="L38" s="8"/>
      <c r="M38" s="21"/>
    </row>
    <row r="39" spans="1:13" ht="27.75" customHeight="1">
      <c r="A39" s="77" t="s">
        <v>46</v>
      </c>
      <c r="B39" s="24" t="s">
        <v>296</v>
      </c>
      <c r="C39" s="46">
        <f t="shared" si="3"/>
        <v>1973.1999999999998</v>
      </c>
      <c r="D39" s="46">
        <f>750.8+0.7</f>
        <v>751.5</v>
      </c>
      <c r="E39" s="46">
        <v>68.4</v>
      </c>
      <c r="F39" s="46">
        <f>1153+0.3</f>
        <v>1153.3</v>
      </c>
      <c r="G39" s="46"/>
      <c r="H39" s="46">
        <v>197</v>
      </c>
      <c r="I39" s="46"/>
      <c r="J39" s="46"/>
      <c r="K39" s="78">
        <f t="shared" si="1"/>
        <v>2170.2</v>
      </c>
      <c r="L39" s="8"/>
      <c r="M39" s="21"/>
    </row>
    <row r="40" spans="1:12" s="21" customFormat="1" ht="12.75">
      <c r="A40" s="79">
        <v>100000</v>
      </c>
      <c r="B40" s="26" t="s">
        <v>49</v>
      </c>
      <c r="C40" s="47">
        <f>D40+E40+F40+G40</f>
        <v>38024.3</v>
      </c>
      <c r="D40" s="47"/>
      <c r="E40" s="47"/>
      <c r="F40" s="47">
        <f>10000+1000+5100+14200+1194-1600</f>
        <v>29894</v>
      </c>
      <c r="G40" s="47">
        <f>8537.5-765.3+358.1</f>
        <v>8130.3</v>
      </c>
      <c r="H40" s="47"/>
      <c r="I40" s="47"/>
      <c r="J40" s="47"/>
      <c r="K40" s="76">
        <f t="shared" si="1"/>
        <v>38024.3</v>
      </c>
      <c r="L40" s="23"/>
    </row>
    <row r="41" spans="1:12" s="21" customFormat="1" ht="51">
      <c r="A41" s="77" t="s">
        <v>399</v>
      </c>
      <c r="B41" s="20" t="s">
        <v>398</v>
      </c>
      <c r="C41" s="46">
        <f>F41</f>
        <v>3500</v>
      </c>
      <c r="D41" s="46"/>
      <c r="E41" s="46"/>
      <c r="F41" s="46">
        <v>3500</v>
      </c>
      <c r="G41" s="47"/>
      <c r="H41" s="47"/>
      <c r="I41" s="47"/>
      <c r="J41" s="47"/>
      <c r="K41" s="76">
        <f t="shared" si="1"/>
        <v>3500</v>
      </c>
      <c r="L41" s="23"/>
    </row>
    <row r="42" spans="1:12" s="21" customFormat="1" ht="15" customHeight="1">
      <c r="A42" s="69">
        <v>110000</v>
      </c>
      <c r="B42" s="26" t="s">
        <v>250</v>
      </c>
      <c r="C42" s="47">
        <f>D42+E42+F42+G42</f>
        <v>34624.6</v>
      </c>
      <c r="D42" s="48">
        <f>1703.5+44</f>
        <v>1747.5</v>
      </c>
      <c r="E42" s="48">
        <v>418.2</v>
      </c>
      <c r="F42" s="48">
        <f>25352.3+3995.3+555.3</f>
        <v>29902.899999999998</v>
      </c>
      <c r="G42" s="48">
        <f>G43+G44+G45</f>
        <v>2556</v>
      </c>
      <c r="H42" s="48">
        <v>465</v>
      </c>
      <c r="I42" s="48"/>
      <c r="J42" s="48"/>
      <c r="K42" s="80">
        <f t="shared" si="1"/>
        <v>35089.6</v>
      </c>
      <c r="L42" s="23"/>
    </row>
    <row r="43" spans="1:13" ht="15" customHeight="1">
      <c r="A43" s="81" t="s">
        <v>246</v>
      </c>
      <c r="B43" s="20" t="s">
        <v>248</v>
      </c>
      <c r="C43" s="30">
        <f>D43+E43+F43+G43</f>
        <v>21140.3</v>
      </c>
      <c r="D43" s="30"/>
      <c r="E43" s="30"/>
      <c r="F43" s="30">
        <f>14416.9+3724+468.3+31.1</f>
        <v>18640.3</v>
      </c>
      <c r="G43" s="30">
        <f>2000+500</f>
        <v>2500</v>
      </c>
      <c r="H43" s="30"/>
      <c r="I43" s="30"/>
      <c r="J43" s="30"/>
      <c r="K43" s="82">
        <f t="shared" si="1"/>
        <v>21140.3</v>
      </c>
      <c r="L43" s="8"/>
      <c r="M43" s="21"/>
    </row>
    <row r="44" spans="1:13" ht="38.25">
      <c r="A44" s="81" t="s">
        <v>247</v>
      </c>
      <c r="B44" s="20" t="s">
        <v>249</v>
      </c>
      <c r="C44" s="30">
        <f>D44+E44+F44+G44</f>
        <v>6874.2</v>
      </c>
      <c r="D44" s="30"/>
      <c r="E44" s="30"/>
      <c r="F44" s="30">
        <f>6736+98+65.3-81.1</f>
        <v>6818.2</v>
      </c>
      <c r="G44" s="30">
        <v>56</v>
      </c>
      <c r="H44" s="30"/>
      <c r="I44" s="30"/>
      <c r="J44" s="30"/>
      <c r="K44" s="82">
        <f t="shared" si="1"/>
        <v>6874.2</v>
      </c>
      <c r="L44" s="8"/>
      <c r="M44" s="21"/>
    </row>
    <row r="45" spans="1:13" ht="12.75">
      <c r="A45" s="81">
        <v>110300</v>
      </c>
      <c r="B45" s="20" t="s">
        <v>50</v>
      </c>
      <c r="C45" s="30">
        <f>D45+E45+F45</f>
        <v>304.3</v>
      </c>
      <c r="D45" s="30"/>
      <c r="E45" s="30"/>
      <c r="F45" s="30">
        <f>200+49+5.3+50</f>
        <v>304.3</v>
      </c>
      <c r="G45" s="30"/>
      <c r="H45" s="30"/>
      <c r="I45" s="30"/>
      <c r="J45" s="30"/>
      <c r="K45" s="82">
        <f t="shared" si="1"/>
        <v>304.3</v>
      </c>
      <c r="L45" s="8"/>
      <c r="M45" s="21"/>
    </row>
    <row r="46" spans="1:12" s="21" customFormat="1" ht="12.75">
      <c r="A46" s="69">
        <v>120000</v>
      </c>
      <c r="B46" s="60" t="s">
        <v>51</v>
      </c>
      <c r="C46" s="48">
        <f>C47+C48</f>
        <v>5450.3</v>
      </c>
      <c r="D46" s="48">
        <f>D47+D48</f>
        <v>0</v>
      </c>
      <c r="E46" s="48">
        <f>E47+E48</f>
        <v>0</v>
      </c>
      <c r="F46" s="48">
        <f>F47+F48</f>
        <v>4298.3</v>
      </c>
      <c r="G46" s="48">
        <f>G47+G48</f>
        <v>1152</v>
      </c>
      <c r="H46" s="48"/>
      <c r="I46" s="48"/>
      <c r="J46" s="48"/>
      <c r="K46" s="80">
        <f t="shared" si="1"/>
        <v>5450.3</v>
      </c>
      <c r="L46" s="23"/>
    </row>
    <row r="47" spans="1:13" ht="24" customHeight="1">
      <c r="A47" s="81">
        <v>120201</v>
      </c>
      <c r="B47" s="20" t="s">
        <v>52</v>
      </c>
      <c r="C47" s="30">
        <f>D47+E47+F47+G47</f>
        <v>4329</v>
      </c>
      <c r="D47" s="30"/>
      <c r="E47" s="30"/>
      <c r="F47" s="30">
        <f>4200-623-400</f>
        <v>3177</v>
      </c>
      <c r="G47" s="30">
        <f>1201-49</f>
        <v>1152</v>
      </c>
      <c r="H47" s="30"/>
      <c r="I47" s="30"/>
      <c r="J47" s="30"/>
      <c r="K47" s="82">
        <f t="shared" si="1"/>
        <v>4329</v>
      </c>
      <c r="L47" s="8"/>
      <c r="M47" s="21"/>
    </row>
    <row r="48" spans="1:13" ht="15" customHeight="1">
      <c r="A48" s="81">
        <v>120300</v>
      </c>
      <c r="B48" s="20" t="s">
        <v>53</v>
      </c>
      <c r="C48" s="30">
        <f>D48+E48+F48</f>
        <v>1121.3</v>
      </c>
      <c r="D48" s="30"/>
      <c r="E48" s="30"/>
      <c r="F48" s="30">
        <f>498.3+623</f>
        <v>1121.3</v>
      </c>
      <c r="G48" s="30"/>
      <c r="H48" s="30"/>
      <c r="I48" s="30"/>
      <c r="J48" s="30"/>
      <c r="K48" s="82">
        <f t="shared" si="1"/>
        <v>1121.3</v>
      </c>
      <c r="L48" s="8"/>
      <c r="M48" s="21"/>
    </row>
    <row r="49" spans="1:12" s="21" customFormat="1" ht="15" customHeight="1">
      <c r="A49" s="69">
        <v>130000</v>
      </c>
      <c r="B49" s="26" t="s">
        <v>54</v>
      </c>
      <c r="C49" s="48">
        <f>D49+E49+F49+G49</f>
        <v>19220.700000000004</v>
      </c>
      <c r="D49" s="48">
        <f>1615.1+2</f>
        <v>1617.1</v>
      </c>
      <c r="E49" s="48">
        <v>24.8</v>
      </c>
      <c r="F49" s="48">
        <f>14320.2+1700+234.6+335+1000-50</f>
        <v>17539.800000000003</v>
      </c>
      <c r="G49" s="48">
        <v>39</v>
      </c>
      <c r="H49" s="48"/>
      <c r="I49" s="48"/>
      <c r="J49" s="48"/>
      <c r="K49" s="80">
        <f t="shared" si="1"/>
        <v>19220.700000000004</v>
      </c>
      <c r="L49" s="23"/>
    </row>
    <row r="50" spans="1:12" s="21" customFormat="1" ht="15" customHeight="1">
      <c r="A50" s="69">
        <v>150000</v>
      </c>
      <c r="B50" s="26" t="s">
        <v>55</v>
      </c>
      <c r="C50" s="48">
        <f>C51+C53+C54+C55+C52</f>
        <v>0</v>
      </c>
      <c r="D50" s="48">
        <f>D51+D53+D54+D55+D52</f>
        <v>0</v>
      </c>
      <c r="E50" s="48">
        <f>E51+E53+E54+E55+E52</f>
        <v>0</v>
      </c>
      <c r="F50" s="48">
        <f>F51+F53+F54+F55+F52</f>
        <v>0</v>
      </c>
      <c r="G50" s="48">
        <f>G51+G53+G54+G55+G52</f>
        <v>0</v>
      </c>
      <c r="H50" s="48">
        <f>H51+H53+H54+H55+H52+H56</f>
        <v>70562.2</v>
      </c>
      <c r="I50" s="48">
        <f>I51+I53+I54+I55+I52+I56</f>
        <v>70562.2</v>
      </c>
      <c r="J50" s="48">
        <f>J51</f>
        <v>406.5</v>
      </c>
      <c r="K50" s="80">
        <f>H50+C50</f>
        <v>70562.2</v>
      </c>
      <c r="L50" s="23"/>
    </row>
    <row r="51" spans="1:13" ht="12.75" customHeight="1">
      <c r="A51" s="81">
        <v>150101</v>
      </c>
      <c r="B51" s="20" t="s">
        <v>56</v>
      </c>
      <c r="C51" s="30">
        <f aca="true" t="shared" si="4" ref="C51:C56">D51+E51+F51</f>
        <v>0</v>
      </c>
      <c r="D51" s="30"/>
      <c r="E51" s="30"/>
      <c r="F51" s="30"/>
      <c r="G51" s="30"/>
      <c r="H51" s="30">
        <f>11000+20000+340+6692.7+12000+900+1000-11000-340-6692.7-2000-500+406.5+1500-100+100+4654+300</f>
        <v>38260.5</v>
      </c>
      <c r="I51" s="30">
        <f>H51</f>
        <v>38260.5</v>
      </c>
      <c r="J51" s="30">
        <f>406.5-100+100</f>
        <v>406.5</v>
      </c>
      <c r="K51" s="82">
        <f t="shared" si="1"/>
        <v>38260.5</v>
      </c>
      <c r="L51" s="8"/>
      <c r="M51" s="21"/>
    </row>
    <row r="52" spans="1:13" ht="219" customHeight="1">
      <c r="A52" s="81" t="s">
        <v>295</v>
      </c>
      <c r="B52" s="146" t="s">
        <v>302</v>
      </c>
      <c r="C52" s="30">
        <f t="shared" si="4"/>
        <v>0</v>
      </c>
      <c r="D52" s="30"/>
      <c r="E52" s="30"/>
      <c r="F52" s="61"/>
      <c r="G52" s="61"/>
      <c r="H52" s="104">
        <f>I52</f>
        <v>6692.7</v>
      </c>
      <c r="I52" s="61">
        <v>6692.7</v>
      </c>
      <c r="J52" s="30"/>
      <c r="K52" s="82">
        <f t="shared" si="1"/>
        <v>6692.7</v>
      </c>
      <c r="L52" s="8"/>
      <c r="M52" s="21"/>
    </row>
    <row r="53" spans="1:13" ht="38.25">
      <c r="A53" s="103" t="s">
        <v>280</v>
      </c>
      <c r="B53" s="152" t="s">
        <v>279</v>
      </c>
      <c r="C53" s="46">
        <f t="shared" si="4"/>
        <v>0</v>
      </c>
      <c r="D53" s="104"/>
      <c r="E53" s="104"/>
      <c r="F53" s="30"/>
      <c r="G53" s="30"/>
      <c r="H53" s="30">
        <f>I53</f>
        <v>2840</v>
      </c>
      <c r="I53" s="30">
        <f>340+2000+500</f>
        <v>2840</v>
      </c>
      <c r="J53" s="104"/>
      <c r="K53" s="78">
        <f t="shared" si="1"/>
        <v>2840</v>
      </c>
      <c r="L53" s="8"/>
      <c r="M53" s="21"/>
    </row>
    <row r="54" spans="1:13" ht="51">
      <c r="A54" s="81" t="s">
        <v>283</v>
      </c>
      <c r="B54" s="146" t="s">
        <v>301</v>
      </c>
      <c r="C54" s="30">
        <f t="shared" si="4"/>
        <v>0</v>
      </c>
      <c r="D54" s="30"/>
      <c r="E54" s="30"/>
      <c r="F54" s="30"/>
      <c r="G54" s="30"/>
      <c r="H54" s="30">
        <f>I54</f>
        <v>10000</v>
      </c>
      <c r="I54" s="30">
        <v>10000</v>
      </c>
      <c r="J54" s="30"/>
      <c r="K54" s="82">
        <f t="shared" si="1"/>
        <v>10000</v>
      </c>
      <c r="L54" s="8"/>
      <c r="M54" s="21"/>
    </row>
    <row r="55" spans="1:13" ht="12.75" customHeight="1">
      <c r="A55" s="81" t="s">
        <v>281</v>
      </c>
      <c r="B55" s="20" t="s">
        <v>282</v>
      </c>
      <c r="C55" s="30">
        <f t="shared" si="4"/>
        <v>0</v>
      </c>
      <c r="D55" s="30"/>
      <c r="E55" s="30"/>
      <c r="F55" s="30"/>
      <c r="G55" s="30"/>
      <c r="H55" s="30">
        <f>I55</f>
        <v>11000</v>
      </c>
      <c r="I55" s="30">
        <v>11000</v>
      </c>
      <c r="J55" s="30"/>
      <c r="K55" s="82">
        <f t="shared" si="1"/>
        <v>11000</v>
      </c>
      <c r="L55" s="8"/>
      <c r="M55" s="21"/>
    </row>
    <row r="56" spans="1:13" ht="12.75" customHeight="1">
      <c r="A56" s="81" t="s">
        <v>326</v>
      </c>
      <c r="B56" s="20" t="s">
        <v>327</v>
      </c>
      <c r="C56" s="30">
        <f t="shared" si="4"/>
        <v>0</v>
      </c>
      <c r="D56" s="30"/>
      <c r="E56" s="30"/>
      <c r="F56" s="30"/>
      <c r="G56" s="30"/>
      <c r="H56" s="30">
        <f>I56</f>
        <v>1769</v>
      </c>
      <c r="I56" s="30">
        <f>1650+119</f>
        <v>1769</v>
      </c>
      <c r="J56" s="30"/>
      <c r="K56" s="82">
        <f t="shared" si="1"/>
        <v>1769</v>
      </c>
      <c r="L56" s="8"/>
      <c r="M56" s="21"/>
    </row>
    <row r="57" spans="1:12" s="21" customFormat="1" ht="24.75" customHeight="1">
      <c r="A57" s="69">
        <v>170000</v>
      </c>
      <c r="B57" s="26" t="s">
        <v>57</v>
      </c>
      <c r="C57" s="48">
        <f aca="true" t="shared" si="5" ref="C57:H57">C58</f>
        <v>0</v>
      </c>
      <c r="D57" s="48">
        <f t="shared" si="5"/>
        <v>0</v>
      </c>
      <c r="E57" s="48">
        <f t="shared" si="5"/>
        <v>0</v>
      </c>
      <c r="F57" s="48">
        <f t="shared" si="5"/>
        <v>0</v>
      </c>
      <c r="G57" s="48">
        <f t="shared" si="5"/>
        <v>0</v>
      </c>
      <c r="H57" s="48">
        <f t="shared" si="5"/>
        <v>29400</v>
      </c>
      <c r="I57" s="48"/>
      <c r="J57" s="48"/>
      <c r="K57" s="80">
        <f t="shared" si="1"/>
        <v>29400</v>
      </c>
      <c r="L57" s="23"/>
    </row>
    <row r="58" spans="1:13" ht="36.75" customHeight="1">
      <c r="A58" s="81">
        <v>170703</v>
      </c>
      <c r="B58" s="20" t="s">
        <v>58</v>
      </c>
      <c r="C58" s="30">
        <f>D58+E58+F58</f>
        <v>0</v>
      </c>
      <c r="D58" s="30"/>
      <c r="E58" s="30"/>
      <c r="F58" s="30"/>
      <c r="G58" s="30"/>
      <c r="H58" s="30">
        <v>29400</v>
      </c>
      <c r="I58" s="30"/>
      <c r="J58" s="30"/>
      <c r="K58" s="82">
        <f t="shared" si="1"/>
        <v>29400</v>
      </c>
      <c r="L58" s="8"/>
      <c r="M58" s="21"/>
    </row>
    <row r="59" spans="1:13" ht="29.25" customHeight="1">
      <c r="A59" s="69">
        <v>180109</v>
      </c>
      <c r="B59" s="26" t="s">
        <v>59</v>
      </c>
      <c r="C59" s="48">
        <f aca="true" t="shared" si="6" ref="C59:C66">D59+E59+F59</f>
        <v>10921.399999999998</v>
      </c>
      <c r="D59" s="30"/>
      <c r="E59" s="30"/>
      <c r="F59" s="48">
        <f>4700.4+400+390+38.7-14.9+2703.7+2703.7-0.2</f>
        <v>10921.399999999998</v>
      </c>
      <c r="G59" s="30"/>
      <c r="H59" s="48"/>
      <c r="I59" s="30"/>
      <c r="J59" s="30"/>
      <c r="K59" s="80">
        <f t="shared" si="1"/>
        <v>10921.399999999998</v>
      </c>
      <c r="L59" s="8"/>
      <c r="M59" s="21"/>
    </row>
    <row r="60" spans="1:13" ht="25.5" customHeight="1">
      <c r="A60" s="69">
        <v>180404</v>
      </c>
      <c r="B60" s="26" t="s">
        <v>60</v>
      </c>
      <c r="C60" s="48">
        <f t="shared" si="6"/>
        <v>200</v>
      </c>
      <c r="D60" s="30"/>
      <c r="E60" s="30"/>
      <c r="F60" s="48">
        <v>200</v>
      </c>
      <c r="G60" s="30"/>
      <c r="H60" s="48"/>
      <c r="I60" s="30"/>
      <c r="J60" s="30"/>
      <c r="K60" s="80">
        <f t="shared" si="1"/>
        <v>200</v>
      </c>
      <c r="L60" s="8"/>
      <c r="M60" s="21"/>
    </row>
    <row r="61" spans="1:13" ht="63.75">
      <c r="A61" s="69" t="s">
        <v>313</v>
      </c>
      <c r="B61" s="26" t="s">
        <v>314</v>
      </c>
      <c r="C61" s="48"/>
      <c r="D61" s="30"/>
      <c r="E61" s="30"/>
      <c r="F61" s="48"/>
      <c r="G61" s="30"/>
      <c r="H61" s="48">
        <f>30+30</f>
        <v>60</v>
      </c>
      <c r="I61" s="48">
        <f>30+30</f>
        <v>60</v>
      </c>
      <c r="J61" s="30"/>
      <c r="K61" s="80">
        <f t="shared" si="1"/>
        <v>60</v>
      </c>
      <c r="L61" s="8"/>
      <c r="M61" s="21"/>
    </row>
    <row r="62" spans="1:12" s="21" customFormat="1" ht="38.25">
      <c r="A62" s="69">
        <v>210000</v>
      </c>
      <c r="B62" s="59" t="s">
        <v>209</v>
      </c>
      <c r="C62" s="48">
        <f>D62+E62+F62+G62</f>
        <v>4204</v>
      </c>
      <c r="D62" s="48"/>
      <c r="E62" s="48"/>
      <c r="F62" s="48">
        <f>1800+198.6+150+820+117</f>
        <v>3085.6</v>
      </c>
      <c r="G62" s="48">
        <f>1110.3+8.1</f>
        <v>1118.3999999999999</v>
      </c>
      <c r="H62" s="48"/>
      <c r="I62" s="48"/>
      <c r="J62" s="48"/>
      <c r="K62" s="80">
        <f t="shared" si="1"/>
        <v>4204</v>
      </c>
      <c r="L62" s="23"/>
    </row>
    <row r="63" spans="1:12" s="21" customFormat="1" ht="29.25" customHeight="1">
      <c r="A63" s="79" t="s">
        <v>98</v>
      </c>
      <c r="B63" s="26" t="s">
        <v>99</v>
      </c>
      <c r="C63" s="48">
        <f t="shared" si="6"/>
        <v>0</v>
      </c>
      <c r="D63" s="48"/>
      <c r="E63" s="48"/>
      <c r="F63" s="48"/>
      <c r="G63" s="48"/>
      <c r="H63" s="48">
        <v>665.4</v>
      </c>
      <c r="I63" s="48"/>
      <c r="J63" s="48"/>
      <c r="K63" s="80">
        <f t="shared" si="1"/>
        <v>665.4</v>
      </c>
      <c r="L63" s="23"/>
    </row>
    <row r="64" spans="1:12" s="21" customFormat="1" ht="13.5" customHeight="1">
      <c r="A64" s="69">
        <v>230000</v>
      </c>
      <c r="B64" s="26" t="s">
        <v>61</v>
      </c>
      <c r="C64" s="48">
        <f t="shared" si="6"/>
        <v>0.1</v>
      </c>
      <c r="D64" s="48"/>
      <c r="E64" s="48"/>
      <c r="F64" s="48">
        <v>0.1</v>
      </c>
      <c r="G64" s="48"/>
      <c r="H64" s="48"/>
      <c r="I64" s="48"/>
      <c r="J64" s="48"/>
      <c r="K64" s="80">
        <f t="shared" si="1"/>
        <v>0.1</v>
      </c>
      <c r="L64" s="23"/>
    </row>
    <row r="65" spans="1:12" s="21" customFormat="1" ht="13.5" customHeight="1">
      <c r="A65" s="79">
        <v>240000</v>
      </c>
      <c r="B65" s="26" t="s">
        <v>62</v>
      </c>
      <c r="C65" s="48">
        <f aca="true" t="shared" si="7" ref="C65:H65">C66</f>
        <v>0</v>
      </c>
      <c r="D65" s="48">
        <f t="shared" si="7"/>
        <v>0</v>
      </c>
      <c r="E65" s="48">
        <f t="shared" si="7"/>
        <v>0</v>
      </c>
      <c r="F65" s="48">
        <f t="shared" si="7"/>
        <v>0</v>
      </c>
      <c r="G65" s="48">
        <f t="shared" si="7"/>
        <v>0</v>
      </c>
      <c r="H65" s="48">
        <f t="shared" si="7"/>
        <v>38000</v>
      </c>
      <c r="I65" s="48"/>
      <c r="J65" s="48"/>
      <c r="K65" s="80">
        <f t="shared" si="1"/>
        <v>38000</v>
      </c>
      <c r="L65" s="23"/>
    </row>
    <row r="66" spans="1:13" ht="70.5" customHeight="1">
      <c r="A66" s="77" t="s">
        <v>154</v>
      </c>
      <c r="B66" s="24" t="s">
        <v>63</v>
      </c>
      <c r="C66" s="30">
        <f t="shared" si="6"/>
        <v>0</v>
      </c>
      <c r="D66" s="30"/>
      <c r="E66" s="30"/>
      <c r="F66" s="30"/>
      <c r="G66" s="30"/>
      <c r="H66" s="30">
        <v>38000</v>
      </c>
      <c r="I66" s="30"/>
      <c r="J66" s="30"/>
      <c r="K66" s="82">
        <f t="shared" si="1"/>
        <v>38000</v>
      </c>
      <c r="L66" s="8"/>
      <c r="M66" s="21"/>
    </row>
    <row r="67" spans="1:12" s="21" customFormat="1" ht="25.5">
      <c r="A67" s="69">
        <v>250000</v>
      </c>
      <c r="B67" s="26" t="s">
        <v>64</v>
      </c>
      <c r="C67" s="48">
        <f aca="true" t="shared" si="8" ref="C67:I67">C68+C69+C71+C70</f>
        <v>2341.3</v>
      </c>
      <c r="D67" s="48">
        <f t="shared" si="8"/>
        <v>3.4</v>
      </c>
      <c r="E67" s="48">
        <f t="shared" si="8"/>
        <v>0</v>
      </c>
      <c r="F67" s="48">
        <f t="shared" si="8"/>
        <v>2337.9</v>
      </c>
      <c r="G67" s="48">
        <f t="shared" si="8"/>
        <v>0</v>
      </c>
      <c r="H67" s="48">
        <f t="shared" si="8"/>
        <v>0</v>
      </c>
      <c r="I67" s="48">
        <f t="shared" si="8"/>
        <v>0</v>
      </c>
      <c r="J67" s="48"/>
      <c r="K67" s="80">
        <f t="shared" si="1"/>
        <v>2341.3</v>
      </c>
      <c r="L67" s="23"/>
    </row>
    <row r="68" spans="1:13" ht="12.75">
      <c r="A68" s="81">
        <v>250102</v>
      </c>
      <c r="B68" s="20" t="s">
        <v>65</v>
      </c>
      <c r="C68" s="30">
        <f>D68+E68+F68</f>
        <v>1831.4</v>
      </c>
      <c r="D68" s="30"/>
      <c r="E68" s="30"/>
      <c r="F68" s="30">
        <f>4000-500-500-198.6-150-820</f>
        <v>1831.4</v>
      </c>
      <c r="G68" s="30"/>
      <c r="H68" s="30"/>
      <c r="I68" s="30"/>
      <c r="J68" s="30"/>
      <c r="K68" s="82">
        <f t="shared" si="1"/>
        <v>1831.4</v>
      </c>
      <c r="L68" s="8"/>
      <c r="M68" s="21"/>
    </row>
    <row r="69" spans="1:13" ht="26.25" customHeight="1">
      <c r="A69" s="81">
        <v>250203</v>
      </c>
      <c r="B69" s="20" t="s">
        <v>210</v>
      </c>
      <c r="C69" s="30">
        <f>D69+E69+F69</f>
        <v>7</v>
      </c>
      <c r="D69" s="30">
        <f>1.7+1.7</f>
        <v>3.4</v>
      </c>
      <c r="E69" s="30"/>
      <c r="F69" s="30">
        <f>105-101.5+1.8-1.7</f>
        <v>3.5999999999999996</v>
      </c>
      <c r="G69" s="30"/>
      <c r="H69" s="30"/>
      <c r="I69" s="30"/>
      <c r="J69" s="30"/>
      <c r="K69" s="82">
        <f t="shared" si="1"/>
        <v>7</v>
      </c>
      <c r="L69" s="8"/>
      <c r="M69" s="21"/>
    </row>
    <row r="70" spans="1:13" ht="26.25" customHeight="1">
      <c r="A70" s="81" t="s">
        <v>234</v>
      </c>
      <c r="B70" s="20" t="s">
        <v>271</v>
      </c>
      <c r="C70" s="30">
        <f>D70+E70+F70</f>
        <v>228.3</v>
      </c>
      <c r="D70" s="30"/>
      <c r="E70" s="30"/>
      <c r="F70" s="30">
        <f>101.5+101.5+73.1-47.8</f>
        <v>228.3</v>
      </c>
      <c r="G70" s="30"/>
      <c r="H70" s="30"/>
      <c r="I70" s="30"/>
      <c r="J70" s="30"/>
      <c r="K70" s="82">
        <f t="shared" si="1"/>
        <v>228.3</v>
      </c>
      <c r="L70" s="8"/>
      <c r="M70" s="21"/>
    </row>
    <row r="71" spans="1:13" ht="13.5" thickBot="1">
      <c r="A71" s="83">
        <v>250404</v>
      </c>
      <c r="B71" s="72" t="s">
        <v>66</v>
      </c>
      <c r="C71" s="61">
        <f>D71+E71+F71</f>
        <v>274.6</v>
      </c>
      <c r="D71" s="61"/>
      <c r="E71" s="61"/>
      <c r="F71" s="61">
        <f>225+49.6</f>
        <v>274.6</v>
      </c>
      <c r="G71" s="61"/>
      <c r="H71" s="61"/>
      <c r="I71" s="61"/>
      <c r="J71" s="61"/>
      <c r="K71" s="84">
        <f t="shared" si="1"/>
        <v>274.6</v>
      </c>
      <c r="L71" s="8"/>
      <c r="M71" s="21"/>
    </row>
    <row r="72" spans="1:13" s="21" customFormat="1" ht="18" customHeight="1">
      <c r="A72" s="148"/>
      <c r="B72" s="149" t="s">
        <v>67</v>
      </c>
      <c r="C72" s="150">
        <f>C13+C15+C17+C18+C19+C40+C42+C46+C49+C50+C57+C59+C60+C62+C64+C65+C66+C67</f>
        <v>540916.1</v>
      </c>
      <c r="D72" s="150">
        <f>D13+D15+D17+D18+D19+D40+D42+D46+D49+D50+D57+D59+D60+D62+D64+D65+D66+D67</f>
        <v>155881.2</v>
      </c>
      <c r="E72" s="150">
        <f>E13+E15+E17+E18+E19+E40+E42+E46+E49+E50+E57+E59+E60+E62+E64+E65+E66+E67</f>
        <v>33641.8</v>
      </c>
      <c r="F72" s="150">
        <f>F13+F15+F17+F18+F19+F40+F42+F46+F49+F50+F57+F59+F60+F62+F64+F65+F66+F67</f>
        <v>323339.3</v>
      </c>
      <c r="G72" s="150">
        <f>G13+G15+G17+G18+G19+G40+G42+G46+G49+G50+G57+G59+G60+G62+G64+G65+G66+G67</f>
        <v>28053.800000000003</v>
      </c>
      <c r="H72" s="150">
        <f>H13+H15+H17+H18+H19+H40+H42+H46+H49+H50+H57+H59+H60+H62+H64+H65+H67+H63+H61</f>
        <v>158336.5</v>
      </c>
      <c r="I72" s="150">
        <f>I13+I15+I17+I18+I19+I40+I42+I46+I49+I50+I57+I59+I60+I62+I64+I65+I67+I63+I61</f>
        <v>70622.2</v>
      </c>
      <c r="J72" s="150">
        <f>J13+J15+J17+J18+J19+J40+J42+J46+J49+J50+J57+J59+J60+J62+J64+J65+J67+J63+J61</f>
        <v>406.5</v>
      </c>
      <c r="K72" s="151">
        <f>K13+K15+K17+K18+K19+K40+K42+K46+K49+K50+K57+K59+K60+K62+K64+K65+K67+K63+K61</f>
        <v>699252.6</v>
      </c>
      <c r="L72" s="28"/>
      <c r="M72" s="29"/>
    </row>
    <row r="73" spans="1:13" s="21" customFormat="1" ht="108.75" customHeight="1">
      <c r="A73" s="145" t="s">
        <v>278</v>
      </c>
      <c r="B73" s="49" t="s">
        <v>218</v>
      </c>
      <c r="C73" s="30">
        <f aca="true" t="shared" si="9" ref="C73:C87">D73+E73+F73</f>
        <v>21399.2</v>
      </c>
      <c r="D73" s="48"/>
      <c r="E73" s="48"/>
      <c r="F73" s="30">
        <v>21399.2</v>
      </c>
      <c r="G73" s="48"/>
      <c r="H73" s="48"/>
      <c r="I73" s="48"/>
      <c r="J73" s="48"/>
      <c r="K73" s="48"/>
      <c r="L73" s="28"/>
      <c r="M73" s="29"/>
    </row>
    <row r="74" spans="1:13" s="21" customFormat="1" ht="108" customHeight="1">
      <c r="A74" s="145" t="s">
        <v>277</v>
      </c>
      <c r="B74" s="49" t="s">
        <v>341</v>
      </c>
      <c r="C74" s="30">
        <f t="shared" si="9"/>
        <v>47780.8</v>
      </c>
      <c r="D74" s="48"/>
      <c r="E74" s="48"/>
      <c r="F74" s="30">
        <v>47780.8</v>
      </c>
      <c r="G74" s="48"/>
      <c r="H74" s="48"/>
      <c r="I74" s="48"/>
      <c r="J74" s="48"/>
      <c r="K74" s="48"/>
      <c r="L74" s="28"/>
      <c r="M74" s="29"/>
    </row>
    <row r="75" spans="1:13" ht="69" customHeight="1">
      <c r="A75" s="145">
        <v>250301</v>
      </c>
      <c r="B75" s="52" t="s">
        <v>213</v>
      </c>
      <c r="C75" s="30">
        <f t="shared" si="9"/>
        <v>14715</v>
      </c>
      <c r="D75" s="30"/>
      <c r="E75" s="30"/>
      <c r="F75" s="30">
        <v>14715</v>
      </c>
      <c r="G75" s="30"/>
      <c r="H75" s="30"/>
      <c r="I75" s="30"/>
      <c r="J75" s="30"/>
      <c r="K75" s="30">
        <f t="shared" si="1"/>
        <v>14715</v>
      </c>
      <c r="L75" s="8"/>
      <c r="M75" s="21"/>
    </row>
    <row r="76" spans="1:13" ht="39.75" customHeight="1">
      <c r="A76" s="81">
        <v>250306</v>
      </c>
      <c r="B76" s="72" t="s">
        <v>68</v>
      </c>
      <c r="C76" s="30">
        <f t="shared" si="9"/>
        <v>69315.7</v>
      </c>
      <c r="D76" s="48"/>
      <c r="E76" s="48"/>
      <c r="F76" s="30">
        <f>20000+6692.7+340+11000+10000+12000+900+30+1650+119+1500+30+100+4654+300</f>
        <v>69315.7</v>
      </c>
      <c r="G76" s="48"/>
      <c r="H76" s="48"/>
      <c r="I76" s="48"/>
      <c r="J76" s="48"/>
      <c r="K76" s="82">
        <f t="shared" si="1"/>
        <v>69315.7</v>
      </c>
      <c r="L76" s="8"/>
      <c r="M76" s="21"/>
    </row>
    <row r="77" spans="1:13" ht="39.75" customHeight="1">
      <c r="A77" s="81" t="s">
        <v>325</v>
      </c>
      <c r="B77" s="49" t="s">
        <v>321</v>
      </c>
      <c r="C77" s="30">
        <f t="shared" si="9"/>
        <v>41966</v>
      </c>
      <c r="D77" s="48"/>
      <c r="E77" s="48"/>
      <c r="F77" s="30">
        <f>43616-1650</f>
        <v>41966</v>
      </c>
      <c r="G77" s="48"/>
      <c r="H77" s="48"/>
      <c r="I77" s="48"/>
      <c r="J77" s="48"/>
      <c r="K77" s="82">
        <f t="shared" si="1"/>
        <v>41966</v>
      </c>
      <c r="L77" s="8"/>
      <c r="M77" s="21"/>
    </row>
    <row r="78" spans="1:13" ht="63.75">
      <c r="A78" s="85" t="s">
        <v>243</v>
      </c>
      <c r="B78" s="49" t="s">
        <v>236</v>
      </c>
      <c r="C78" s="30">
        <f t="shared" si="9"/>
        <v>93935.5</v>
      </c>
      <c r="D78" s="48"/>
      <c r="E78" s="48"/>
      <c r="F78" s="30">
        <v>93935.5</v>
      </c>
      <c r="G78" s="48"/>
      <c r="H78" s="48"/>
      <c r="I78" s="48"/>
      <c r="J78" s="48"/>
      <c r="K78" s="82">
        <f t="shared" si="1"/>
        <v>93935.5</v>
      </c>
      <c r="L78" s="8"/>
      <c r="M78" s="21"/>
    </row>
    <row r="79" spans="1:13" ht="231" customHeight="1">
      <c r="A79" s="85" t="s">
        <v>244</v>
      </c>
      <c r="B79" s="153" t="s">
        <v>299</v>
      </c>
      <c r="C79" s="30">
        <f t="shared" si="9"/>
        <v>195261</v>
      </c>
      <c r="D79" s="48"/>
      <c r="E79" s="48"/>
      <c r="F79" s="30">
        <f>173905.7+21355.3</f>
        <v>195261</v>
      </c>
      <c r="G79" s="48"/>
      <c r="H79" s="48"/>
      <c r="I79" s="48"/>
      <c r="J79" s="48"/>
      <c r="K79" s="82">
        <f t="shared" si="1"/>
        <v>195261</v>
      </c>
      <c r="L79" s="8"/>
      <c r="M79" s="21"/>
    </row>
    <row r="80" spans="1:13" ht="261" customHeight="1">
      <c r="A80" s="85" t="s">
        <v>233</v>
      </c>
      <c r="B80" s="146" t="s">
        <v>300</v>
      </c>
      <c r="C80" s="154">
        <f t="shared" si="9"/>
        <v>65374</v>
      </c>
      <c r="D80" s="48"/>
      <c r="E80" s="48"/>
      <c r="F80" s="30">
        <f>60229.2+5144.8</f>
        <v>65374</v>
      </c>
      <c r="G80" s="48"/>
      <c r="H80" s="48"/>
      <c r="I80" s="48"/>
      <c r="J80" s="48"/>
      <c r="K80" s="82">
        <f t="shared" si="1"/>
        <v>65374</v>
      </c>
      <c r="L80" s="8"/>
      <c r="M80" s="21"/>
    </row>
    <row r="81" spans="1:13" s="21" customFormat="1" ht="178.5" customHeight="1">
      <c r="A81" s="81" t="s">
        <v>245</v>
      </c>
      <c r="B81" s="146" t="s">
        <v>240</v>
      </c>
      <c r="C81" s="30">
        <f t="shared" si="9"/>
        <v>21042.2</v>
      </c>
      <c r="D81" s="30"/>
      <c r="E81" s="30"/>
      <c r="F81" s="30">
        <v>21042.2</v>
      </c>
      <c r="G81" s="30"/>
      <c r="H81" s="30"/>
      <c r="I81" s="30"/>
      <c r="J81" s="30"/>
      <c r="K81" s="82">
        <f t="shared" si="1"/>
        <v>21042.2</v>
      </c>
      <c r="L81" s="28"/>
      <c r="M81" s="29"/>
    </row>
    <row r="82" spans="1:13" s="21" customFormat="1" ht="76.5" hidden="1">
      <c r="A82" s="81" t="s">
        <v>303</v>
      </c>
      <c r="B82" s="146" t="s">
        <v>221</v>
      </c>
      <c r="C82" s="30">
        <f t="shared" si="9"/>
        <v>0</v>
      </c>
      <c r="D82" s="30"/>
      <c r="E82" s="30"/>
      <c r="F82" s="30"/>
      <c r="G82" s="30"/>
      <c r="H82" s="30"/>
      <c r="I82" s="30"/>
      <c r="J82" s="30"/>
      <c r="K82" s="82">
        <f t="shared" si="1"/>
        <v>0</v>
      </c>
      <c r="L82" s="28"/>
      <c r="M82" s="29"/>
    </row>
    <row r="83" spans="1:12" s="21" customFormat="1" ht="69.75" customHeight="1">
      <c r="A83" s="81" t="s">
        <v>254</v>
      </c>
      <c r="B83" s="146" t="s">
        <v>242</v>
      </c>
      <c r="C83" s="30">
        <f t="shared" si="9"/>
        <v>0</v>
      </c>
      <c r="D83" s="30"/>
      <c r="E83" s="30"/>
      <c r="F83" s="30"/>
      <c r="G83" s="30"/>
      <c r="H83" s="30">
        <v>9037.8</v>
      </c>
      <c r="I83" s="30"/>
      <c r="J83" s="30"/>
      <c r="K83" s="82">
        <f t="shared" si="1"/>
        <v>9037.8</v>
      </c>
      <c r="L83" s="23"/>
    </row>
    <row r="84" spans="1:12" s="21" customFormat="1" ht="109.5" customHeight="1">
      <c r="A84" s="103" t="s">
        <v>324</v>
      </c>
      <c r="B84" s="155" t="s">
        <v>323</v>
      </c>
      <c r="C84" s="46">
        <f t="shared" si="9"/>
        <v>33441</v>
      </c>
      <c r="D84" s="104"/>
      <c r="E84" s="104"/>
      <c r="F84" s="104">
        <v>33441</v>
      </c>
      <c r="G84" s="104"/>
      <c r="H84" s="104"/>
      <c r="I84" s="104"/>
      <c r="J84" s="104"/>
      <c r="K84" s="78">
        <f t="shared" si="1"/>
        <v>33441</v>
      </c>
      <c r="L84" s="23"/>
    </row>
    <row r="85" spans="1:12" s="21" customFormat="1" ht="15" customHeight="1">
      <c r="A85" s="81" t="s">
        <v>315</v>
      </c>
      <c r="B85" s="146" t="s">
        <v>316</v>
      </c>
      <c r="C85" s="30">
        <f t="shared" si="9"/>
        <v>1790</v>
      </c>
      <c r="D85" s="30"/>
      <c r="E85" s="30"/>
      <c r="F85" s="30">
        <f>200+1140+450</f>
        <v>1790</v>
      </c>
      <c r="G85" s="30"/>
      <c r="H85" s="30"/>
      <c r="I85" s="30"/>
      <c r="J85" s="30"/>
      <c r="K85" s="82">
        <f t="shared" si="1"/>
        <v>1790</v>
      </c>
      <c r="L85" s="23"/>
    </row>
    <row r="86" spans="1:12" s="21" customFormat="1" ht="39.75" customHeight="1">
      <c r="A86" s="81" t="s">
        <v>276</v>
      </c>
      <c r="B86" s="146" t="s">
        <v>400</v>
      </c>
      <c r="C86" s="30">
        <f t="shared" si="9"/>
        <v>5800</v>
      </c>
      <c r="D86" s="30"/>
      <c r="E86" s="30"/>
      <c r="F86" s="30">
        <v>5800</v>
      </c>
      <c r="G86" s="30"/>
      <c r="H86" s="30"/>
      <c r="I86" s="30"/>
      <c r="J86" s="30"/>
      <c r="K86" s="82">
        <f t="shared" si="1"/>
        <v>5800</v>
      </c>
      <c r="L86" s="23"/>
    </row>
    <row r="87" spans="1:12" s="21" customFormat="1" ht="69" customHeight="1">
      <c r="A87" s="145"/>
      <c r="B87" s="146" t="s">
        <v>339</v>
      </c>
      <c r="C87" s="30">
        <f t="shared" si="9"/>
        <v>26500</v>
      </c>
      <c r="D87" s="30"/>
      <c r="E87" s="30"/>
      <c r="F87" s="30">
        <f>24900+1600</f>
        <v>26500</v>
      </c>
      <c r="G87" s="30"/>
      <c r="H87" s="30"/>
      <c r="I87" s="30"/>
      <c r="J87" s="30"/>
      <c r="K87" s="82">
        <f t="shared" si="1"/>
        <v>26500</v>
      </c>
      <c r="L87" s="23"/>
    </row>
    <row r="88" spans="1:13" s="21" customFormat="1" ht="13.5" thickBot="1">
      <c r="A88" s="387" t="s">
        <v>69</v>
      </c>
      <c r="B88" s="388"/>
      <c r="C88" s="111">
        <f>C83+C81+C80+C79+C78+C76+C75+C72+C82+C85+C77+C84+C86+C87+C74+C73</f>
        <v>1179236.5</v>
      </c>
      <c r="D88" s="111">
        <f>D83+D81+D80+D79+D78+D76+D75+D72+D82+D84+D85+D86+D87+D73+D74+D77</f>
        <v>155881.2</v>
      </c>
      <c r="E88" s="111">
        <f>E83+E81+E80+E79+E78+E76+E75+E72+E82+E84+E85+E86+E87+E73+E74+E77</f>
        <v>33641.8</v>
      </c>
      <c r="F88" s="111">
        <f>F83+F81+F80+F79+F78+F76+F75+F72+F82+F84+F85+F86+F87+F73+F74+F77</f>
        <v>961659.7</v>
      </c>
      <c r="G88" s="111">
        <f>G83+G81+G80+G79+G78+G76+G75+G72+G82</f>
        <v>28053.800000000003</v>
      </c>
      <c r="H88" s="111">
        <f>H83+H81+H80+H79+H78+H76+H75+H72+H82</f>
        <v>167374.3</v>
      </c>
      <c r="I88" s="111">
        <f>I83+I81+I80+I79+I78+I76+I75+I72+I82</f>
        <v>70622.2</v>
      </c>
      <c r="J88" s="111">
        <f>J83+J81+J80+J79+J78+J76+J75+J72+J82</f>
        <v>406.5</v>
      </c>
      <c r="K88" s="112">
        <f>C88+H88</f>
        <v>1346610.8</v>
      </c>
      <c r="L88" s="23"/>
      <c r="M88" s="29"/>
    </row>
    <row r="89" spans="2:11" ht="12.75">
      <c r="B89" s="53"/>
      <c r="C89" s="107">
        <f>'№1'!C70+30670.8</f>
        <v>1179236.5000000002</v>
      </c>
      <c r="D89" s="107"/>
      <c r="E89" s="107"/>
      <c r="F89" s="107"/>
      <c r="G89" s="107"/>
      <c r="H89" s="107">
        <f>'№1'!D70</f>
        <v>167374.3</v>
      </c>
      <c r="I89" s="107"/>
      <c r="J89" s="107"/>
      <c r="K89" s="107">
        <f>'№1'!F70+30670.8</f>
        <v>1346610.8000000003</v>
      </c>
    </row>
    <row r="90" spans="2:11" ht="12.75" hidden="1">
      <c r="B90" s="53"/>
      <c r="C90" s="107"/>
      <c r="D90" s="107"/>
      <c r="E90" s="107"/>
      <c r="F90" s="107"/>
      <c r="G90" s="107"/>
      <c r="H90" s="107"/>
      <c r="I90" s="107"/>
      <c r="J90" s="107"/>
      <c r="K90" s="107"/>
    </row>
    <row r="91" spans="2:11" ht="12.75">
      <c r="B91" s="53"/>
      <c r="C91" s="107"/>
      <c r="D91" s="107"/>
      <c r="E91" s="107"/>
      <c r="F91" s="107"/>
      <c r="G91" s="107"/>
      <c r="H91" s="107"/>
      <c r="I91" s="107"/>
      <c r="J91" s="107"/>
      <c r="K91" s="107"/>
    </row>
    <row r="92" spans="2:11" ht="12.75">
      <c r="B92" s="53"/>
      <c r="C92" s="32"/>
      <c r="D92" s="32"/>
      <c r="E92" s="32"/>
      <c r="F92" s="32"/>
      <c r="G92" s="32"/>
      <c r="H92" s="32"/>
      <c r="I92" s="32"/>
      <c r="J92" s="32"/>
      <c r="K92" s="32"/>
    </row>
    <row r="93" spans="2:3" ht="12.75">
      <c r="B93" s="53"/>
      <c r="C93" s="32"/>
    </row>
    <row r="94" spans="2:11" ht="12.75">
      <c r="B94" s="53"/>
      <c r="C94" s="32"/>
      <c r="D94" s="32"/>
      <c r="E94" s="32"/>
      <c r="F94" s="32"/>
      <c r="G94" s="32"/>
      <c r="H94" s="32"/>
      <c r="I94" s="32"/>
      <c r="K94" s="32"/>
    </row>
    <row r="95" spans="2:8" ht="12.75">
      <c r="B95" s="53"/>
      <c r="C95" s="32"/>
      <c r="D95" s="32"/>
      <c r="E95" s="32"/>
      <c r="F95" s="32"/>
      <c r="G95" s="32"/>
      <c r="H95" s="32"/>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row r="219" ht="12.75">
      <c r="B219" s="53"/>
    </row>
    <row r="220" ht="12.75">
      <c r="B220" s="53"/>
    </row>
    <row r="221" ht="12.75">
      <c r="B221" s="53"/>
    </row>
    <row r="222" ht="12.75">
      <c r="B222" s="53"/>
    </row>
    <row r="223" ht="12.75">
      <c r="B223" s="53"/>
    </row>
    <row r="224" ht="12.75">
      <c r="B224" s="53"/>
    </row>
    <row r="225" ht="12.75">
      <c r="B225" s="53"/>
    </row>
    <row r="226" ht="12.75">
      <c r="B226" s="53"/>
    </row>
    <row r="227" ht="12.75">
      <c r="B227" s="53"/>
    </row>
    <row r="228" ht="12.75">
      <c r="B228" s="53"/>
    </row>
    <row r="229" ht="12.75">
      <c r="B229" s="53"/>
    </row>
    <row r="230" ht="12.75">
      <c r="B230" s="53"/>
    </row>
    <row r="231" ht="12.75">
      <c r="B231" s="53"/>
    </row>
    <row r="232" ht="12.75">
      <c r="B232" s="53"/>
    </row>
    <row r="233" ht="12.75">
      <c r="B233" s="53"/>
    </row>
    <row r="234" ht="12.75">
      <c r="B234" s="53"/>
    </row>
    <row r="235" ht="12.75">
      <c r="B235" s="53"/>
    </row>
    <row r="236" ht="12.75">
      <c r="B236" s="53"/>
    </row>
    <row r="237" ht="12.75">
      <c r="B237" s="53"/>
    </row>
    <row r="238" ht="12.75">
      <c r="B238" s="53"/>
    </row>
    <row r="239" ht="12.75">
      <c r="B239" s="53"/>
    </row>
    <row r="240" ht="12.75">
      <c r="B240" s="53"/>
    </row>
    <row r="241" ht="12.75">
      <c r="B241" s="53"/>
    </row>
    <row r="242" ht="12.75">
      <c r="B242" s="53"/>
    </row>
    <row r="243" ht="12.75">
      <c r="B243" s="53"/>
    </row>
    <row r="244" ht="12.75">
      <c r="B244" s="53"/>
    </row>
    <row r="245" ht="12.75">
      <c r="B245" s="53"/>
    </row>
    <row r="246" ht="12.75">
      <c r="B246" s="53"/>
    </row>
    <row r="247" ht="12.75">
      <c r="B247" s="53"/>
    </row>
    <row r="248" ht="12.75">
      <c r="B248" s="53"/>
    </row>
    <row r="249" ht="12.75">
      <c r="B249" s="53"/>
    </row>
    <row r="250" ht="12.75">
      <c r="B250" s="53"/>
    </row>
    <row r="251" ht="12.75">
      <c r="B251" s="53"/>
    </row>
    <row r="252" ht="12.75">
      <c r="B252" s="53"/>
    </row>
    <row r="253" ht="12.75">
      <c r="B253" s="53"/>
    </row>
    <row r="254" ht="12.75">
      <c r="B254" s="53"/>
    </row>
    <row r="255" ht="12.75">
      <c r="B255" s="53"/>
    </row>
    <row r="256" ht="12.75">
      <c r="B256" s="53"/>
    </row>
    <row r="257" ht="12.75">
      <c r="B257" s="53"/>
    </row>
    <row r="258" ht="12.75">
      <c r="B258" s="53"/>
    </row>
    <row r="259" ht="12.75">
      <c r="B259" s="53"/>
    </row>
    <row r="260" ht="12.75">
      <c r="B260" s="53"/>
    </row>
    <row r="261" ht="12.75">
      <c r="B261" s="53"/>
    </row>
    <row r="262" ht="12.75">
      <c r="B262" s="53"/>
    </row>
    <row r="263" ht="12.75">
      <c r="B263" s="53"/>
    </row>
    <row r="264" ht="12.75">
      <c r="B264" s="53"/>
    </row>
    <row r="265" ht="12.75">
      <c r="B265" s="53"/>
    </row>
    <row r="266" ht="12.75">
      <c r="B266" s="53"/>
    </row>
    <row r="267" ht="12.75">
      <c r="B267" s="53"/>
    </row>
    <row r="268" ht="12.75">
      <c r="B268" s="53"/>
    </row>
    <row r="269" ht="12.75">
      <c r="B269" s="53"/>
    </row>
    <row r="270" ht="12.75">
      <c r="B270" s="53"/>
    </row>
    <row r="271" ht="12.75">
      <c r="B271" s="53"/>
    </row>
    <row r="272" ht="12.75">
      <c r="B272" s="53"/>
    </row>
    <row r="273" ht="12.75">
      <c r="B273" s="53"/>
    </row>
    <row r="274" ht="12.75">
      <c r="B274" s="53"/>
    </row>
    <row r="275" ht="12.75">
      <c r="B275" s="53"/>
    </row>
    <row r="276" ht="12.75">
      <c r="B276" s="53"/>
    </row>
    <row r="277" ht="12.75">
      <c r="B277" s="53"/>
    </row>
    <row r="278" ht="12.75">
      <c r="B278" s="53"/>
    </row>
    <row r="279" ht="12.75">
      <c r="B279" s="53"/>
    </row>
    <row r="280" ht="12.75">
      <c r="B280" s="53"/>
    </row>
    <row r="281" ht="12.75">
      <c r="B281" s="53"/>
    </row>
    <row r="282" ht="12.75">
      <c r="B282" s="53"/>
    </row>
    <row r="283" ht="12.75">
      <c r="B283" s="53"/>
    </row>
    <row r="284" ht="12.75">
      <c r="B284" s="53"/>
    </row>
    <row r="285" ht="12.75">
      <c r="B285" s="53"/>
    </row>
    <row r="286" ht="12.75">
      <c r="B286" s="53"/>
    </row>
    <row r="287" ht="12.75">
      <c r="B287" s="53"/>
    </row>
    <row r="288" ht="12.75">
      <c r="B288" s="53"/>
    </row>
    <row r="289" ht="12.75">
      <c r="B289" s="53"/>
    </row>
    <row r="290" ht="12.75">
      <c r="B290" s="53"/>
    </row>
    <row r="291" ht="12.75">
      <c r="B291" s="53"/>
    </row>
    <row r="292" ht="12.75">
      <c r="B292" s="53"/>
    </row>
    <row r="293" ht="12.75">
      <c r="B293" s="53"/>
    </row>
    <row r="294" ht="12.75">
      <c r="B294" s="53"/>
    </row>
    <row r="295" ht="12.75">
      <c r="B295" s="53"/>
    </row>
    <row r="296" ht="12.75">
      <c r="B296" s="53"/>
    </row>
    <row r="297" ht="12.75">
      <c r="B297" s="53"/>
    </row>
    <row r="298" ht="12.75">
      <c r="B298" s="53"/>
    </row>
    <row r="299" ht="12.75">
      <c r="B299" s="53"/>
    </row>
    <row r="300" ht="12.75">
      <c r="B300" s="53"/>
    </row>
    <row r="301" ht="12.75">
      <c r="B301" s="53"/>
    </row>
    <row r="302" ht="12.75">
      <c r="B302" s="53"/>
    </row>
    <row r="303" ht="12.75">
      <c r="B303" s="53"/>
    </row>
    <row r="304" ht="12.75">
      <c r="B304" s="53"/>
    </row>
    <row r="305" ht="12.75">
      <c r="B305" s="53"/>
    </row>
    <row r="306" ht="12.75">
      <c r="B306" s="53"/>
    </row>
    <row r="307" ht="12.75">
      <c r="B307" s="53"/>
    </row>
    <row r="308" ht="12.75">
      <c r="B308" s="53"/>
    </row>
    <row r="309" ht="12.75">
      <c r="B309" s="53"/>
    </row>
    <row r="310" ht="12.75">
      <c r="B310" s="53"/>
    </row>
    <row r="311" ht="12.75">
      <c r="B311" s="53"/>
    </row>
    <row r="312" ht="12.75">
      <c r="B312" s="53"/>
    </row>
    <row r="313" ht="12.75">
      <c r="B313" s="53"/>
    </row>
    <row r="314" ht="12.75">
      <c r="B314" s="53"/>
    </row>
    <row r="315" ht="12.75">
      <c r="B315" s="53"/>
    </row>
    <row r="316" ht="12.75">
      <c r="B316" s="53"/>
    </row>
    <row r="317" ht="12.75">
      <c r="B317" s="53"/>
    </row>
    <row r="318" ht="12.75">
      <c r="B318" s="53"/>
    </row>
    <row r="319" ht="12.75">
      <c r="B319" s="53"/>
    </row>
    <row r="320" ht="12.75">
      <c r="B320" s="53"/>
    </row>
    <row r="321" ht="12.75">
      <c r="B321" s="53"/>
    </row>
    <row r="322" ht="12.75">
      <c r="B322" s="53"/>
    </row>
    <row r="323" ht="12.75">
      <c r="B323" s="53"/>
    </row>
    <row r="324" ht="12.75">
      <c r="B324" s="53"/>
    </row>
    <row r="325" ht="12.75">
      <c r="B325" s="53"/>
    </row>
    <row r="326" ht="12.75">
      <c r="B326" s="53"/>
    </row>
    <row r="327" ht="12.75">
      <c r="B327" s="53"/>
    </row>
    <row r="328" ht="12.75">
      <c r="B328" s="53"/>
    </row>
    <row r="329" ht="12.75">
      <c r="B329" s="53"/>
    </row>
    <row r="330" ht="12.75">
      <c r="B330" s="53"/>
    </row>
    <row r="331" ht="12.75">
      <c r="B331" s="53"/>
    </row>
    <row r="332" ht="12.75">
      <c r="B332" s="53"/>
    </row>
    <row r="333" ht="12.75">
      <c r="B333" s="53"/>
    </row>
    <row r="334" ht="12.75">
      <c r="B334" s="53"/>
    </row>
    <row r="335" ht="12.75">
      <c r="B335" s="53"/>
    </row>
    <row r="336" ht="12.75">
      <c r="B336" s="53"/>
    </row>
    <row r="337" ht="12.75">
      <c r="B337" s="53"/>
    </row>
    <row r="338" ht="12.75">
      <c r="B338" s="53"/>
    </row>
    <row r="339" ht="12.75">
      <c r="B339" s="53"/>
    </row>
    <row r="340" ht="12.75">
      <c r="B340" s="53"/>
    </row>
    <row r="341" ht="12.75">
      <c r="B341" s="53"/>
    </row>
    <row r="342" ht="12.75">
      <c r="B342" s="53"/>
    </row>
    <row r="343" ht="12.75">
      <c r="B343" s="53"/>
    </row>
    <row r="344" ht="12.75">
      <c r="B344" s="53"/>
    </row>
    <row r="345" ht="12.75">
      <c r="B345" s="53"/>
    </row>
    <row r="346" ht="12.75">
      <c r="B346" s="53"/>
    </row>
    <row r="347" ht="12.75">
      <c r="B347" s="53"/>
    </row>
    <row r="348" ht="12.75">
      <c r="B348" s="53"/>
    </row>
    <row r="349" ht="12.75">
      <c r="B349" s="53"/>
    </row>
    <row r="350" ht="12.75">
      <c r="B350" s="53"/>
    </row>
    <row r="351" ht="12.75">
      <c r="B351" s="53"/>
    </row>
    <row r="352" ht="12.75">
      <c r="B352" s="53"/>
    </row>
    <row r="353" ht="12.75">
      <c r="B353" s="53"/>
    </row>
    <row r="354" ht="12.75">
      <c r="B354" s="53"/>
    </row>
    <row r="355" ht="12.75">
      <c r="B355" s="53"/>
    </row>
    <row r="356" ht="12.75">
      <c r="B356" s="53"/>
    </row>
    <row r="357" ht="12.75">
      <c r="B357" s="53"/>
    </row>
    <row r="358" ht="12.75">
      <c r="B358" s="53"/>
    </row>
    <row r="359" ht="12.75">
      <c r="B359" s="53"/>
    </row>
    <row r="360" ht="12.75">
      <c r="B360" s="53"/>
    </row>
    <row r="361" ht="12.75">
      <c r="B361" s="53"/>
    </row>
    <row r="362" ht="12.75">
      <c r="B362" s="53"/>
    </row>
    <row r="363" ht="12.75">
      <c r="B363" s="53"/>
    </row>
    <row r="364" ht="12.75">
      <c r="B364" s="53"/>
    </row>
    <row r="365" ht="12.75">
      <c r="B365" s="53"/>
    </row>
    <row r="366" ht="12.75">
      <c r="B366" s="53"/>
    </row>
    <row r="367" ht="12.75">
      <c r="B367" s="53"/>
    </row>
    <row r="368" ht="12.75">
      <c r="B368" s="53"/>
    </row>
    <row r="369" ht="12.75">
      <c r="B369" s="53"/>
    </row>
    <row r="370" ht="12.75">
      <c r="B370" s="53"/>
    </row>
    <row r="371" ht="12.75">
      <c r="B371" s="53"/>
    </row>
    <row r="372" ht="12.75">
      <c r="B372" s="53"/>
    </row>
    <row r="373" ht="12.75">
      <c r="B373" s="53"/>
    </row>
    <row r="374" ht="12.75">
      <c r="B374" s="53"/>
    </row>
    <row r="375" ht="12.75">
      <c r="B375" s="53"/>
    </row>
    <row r="376" ht="12.75">
      <c r="B376" s="53"/>
    </row>
    <row r="377" ht="12.75">
      <c r="B377" s="53"/>
    </row>
    <row r="378" ht="12.75">
      <c r="B378" s="53"/>
    </row>
    <row r="379" ht="12.75">
      <c r="B379" s="53"/>
    </row>
    <row r="380" ht="12.75">
      <c r="B380" s="53"/>
    </row>
    <row r="381" ht="12.75">
      <c r="B381" s="53"/>
    </row>
    <row r="382" ht="12.75">
      <c r="B382" s="53"/>
    </row>
    <row r="383" ht="12.75">
      <c r="B383" s="53"/>
    </row>
    <row r="384" ht="12.75">
      <c r="B384" s="53"/>
    </row>
    <row r="385" ht="12.75">
      <c r="B385" s="53"/>
    </row>
    <row r="386" ht="12.75">
      <c r="B386" s="53"/>
    </row>
    <row r="387" ht="12.75">
      <c r="B387" s="53"/>
    </row>
    <row r="388" ht="12.75">
      <c r="B388" s="53"/>
    </row>
    <row r="389" ht="12.75">
      <c r="B389" s="53"/>
    </row>
    <row r="390" ht="12.75">
      <c r="B390" s="53"/>
    </row>
    <row r="391" ht="12.75">
      <c r="B391" s="53"/>
    </row>
    <row r="392" ht="12.75">
      <c r="B392" s="53"/>
    </row>
    <row r="393" ht="12.75">
      <c r="B393" s="53"/>
    </row>
    <row r="394" ht="12.75">
      <c r="B394" s="53"/>
    </row>
    <row r="395" ht="12.75">
      <c r="B395" s="53"/>
    </row>
    <row r="396" ht="12.75">
      <c r="B396" s="53"/>
    </row>
    <row r="397" ht="12.75">
      <c r="B397" s="53"/>
    </row>
    <row r="398" ht="12.75">
      <c r="B398" s="53"/>
    </row>
    <row r="399" ht="12.75">
      <c r="B399" s="53"/>
    </row>
    <row r="400" ht="12.75">
      <c r="B400" s="53"/>
    </row>
    <row r="401" ht="12.75">
      <c r="B401" s="53"/>
    </row>
    <row r="402" ht="12.75">
      <c r="B402" s="53"/>
    </row>
    <row r="403" ht="12.75">
      <c r="B403" s="53"/>
    </row>
    <row r="404" ht="12.75">
      <c r="B404" s="53"/>
    </row>
    <row r="405" ht="12.75">
      <c r="B405" s="53"/>
    </row>
    <row r="406" ht="12.75">
      <c r="B406" s="53"/>
    </row>
    <row r="407" ht="12.75">
      <c r="B407" s="53"/>
    </row>
    <row r="408" ht="12.75">
      <c r="B408" s="53"/>
    </row>
    <row r="409" ht="12.75">
      <c r="B409" s="53"/>
    </row>
    <row r="410" ht="12.75">
      <c r="B410" s="53"/>
    </row>
    <row r="411" ht="12.75">
      <c r="B411" s="53"/>
    </row>
    <row r="412" ht="12.75">
      <c r="B412" s="53"/>
    </row>
    <row r="413" ht="12.75">
      <c r="B413" s="53"/>
    </row>
    <row r="414" ht="12.75">
      <c r="B414" s="53"/>
    </row>
    <row r="415" ht="12.75">
      <c r="B415" s="53"/>
    </row>
    <row r="416" ht="12.75">
      <c r="B416" s="53"/>
    </row>
    <row r="417" ht="12.75">
      <c r="B417" s="53"/>
    </row>
    <row r="418" ht="12.75">
      <c r="B418" s="53"/>
    </row>
    <row r="419" ht="12.75">
      <c r="B419" s="53"/>
    </row>
    <row r="420" ht="12.75">
      <c r="B420" s="53"/>
    </row>
    <row r="421" ht="12.75">
      <c r="B421" s="53"/>
    </row>
    <row r="422" ht="12.75">
      <c r="B422" s="53"/>
    </row>
    <row r="423" ht="12.75">
      <c r="B423" s="53"/>
    </row>
    <row r="424" ht="12.75">
      <c r="B424" s="53"/>
    </row>
    <row r="425" ht="12.75">
      <c r="B425" s="53"/>
    </row>
    <row r="426" ht="12.75">
      <c r="B426" s="53"/>
    </row>
    <row r="427" ht="12.75">
      <c r="B427" s="53"/>
    </row>
    <row r="428" ht="12.75">
      <c r="B428" s="53"/>
    </row>
    <row r="429" ht="12.75">
      <c r="B429" s="53"/>
    </row>
    <row r="430" ht="12.75">
      <c r="B430" s="53"/>
    </row>
    <row r="431" ht="12.75">
      <c r="B431" s="53"/>
    </row>
    <row r="432" ht="12.75">
      <c r="B432" s="53"/>
    </row>
    <row r="433" ht="12.75">
      <c r="B433" s="53"/>
    </row>
    <row r="434" ht="12.75">
      <c r="B434" s="53"/>
    </row>
    <row r="435" ht="12.75">
      <c r="B435" s="53"/>
    </row>
    <row r="436" ht="12.75">
      <c r="B436" s="53"/>
    </row>
    <row r="437" ht="12.75">
      <c r="B437" s="53"/>
    </row>
    <row r="438" ht="12.75">
      <c r="B438" s="53"/>
    </row>
    <row r="439" ht="12.75">
      <c r="B439" s="53"/>
    </row>
    <row r="440" ht="12.75">
      <c r="B440" s="53"/>
    </row>
    <row r="441" ht="12.75">
      <c r="B441" s="53"/>
    </row>
    <row r="442" ht="12.75">
      <c r="B442" s="53"/>
    </row>
    <row r="443" ht="12.75">
      <c r="B443" s="53"/>
    </row>
    <row r="444" ht="12.75">
      <c r="B444" s="53"/>
    </row>
    <row r="445" ht="12.75">
      <c r="B445" s="53"/>
    </row>
    <row r="446" ht="12.75">
      <c r="B446" s="53"/>
    </row>
    <row r="447" ht="12.75">
      <c r="B447" s="53"/>
    </row>
    <row r="448" ht="12.75">
      <c r="B448" s="53"/>
    </row>
    <row r="449" ht="12.75">
      <c r="B449" s="53"/>
    </row>
    <row r="450" ht="12.75">
      <c r="B450" s="53"/>
    </row>
    <row r="451" ht="12.75">
      <c r="B451" s="53"/>
    </row>
    <row r="452" ht="12.75">
      <c r="B452" s="53"/>
    </row>
    <row r="453" ht="12.75">
      <c r="B453" s="53"/>
    </row>
    <row r="454" ht="12.75">
      <c r="B454" s="53"/>
    </row>
    <row r="455" ht="12.75">
      <c r="B455" s="53"/>
    </row>
    <row r="456" ht="12.75">
      <c r="B456" s="53"/>
    </row>
    <row r="457" ht="12.75">
      <c r="B457" s="53"/>
    </row>
    <row r="458" ht="12.75">
      <c r="B458" s="53"/>
    </row>
    <row r="459" ht="12.75">
      <c r="B459" s="53"/>
    </row>
    <row r="460" ht="12.75">
      <c r="B460" s="53"/>
    </row>
    <row r="461" ht="12.75">
      <c r="B461" s="53"/>
    </row>
    <row r="462" ht="12.75">
      <c r="B462" s="53"/>
    </row>
    <row r="463" ht="12.75">
      <c r="B463" s="53"/>
    </row>
    <row r="464" ht="12.75">
      <c r="B464" s="53"/>
    </row>
    <row r="465" ht="12.75">
      <c r="B465" s="53"/>
    </row>
    <row r="466" ht="12.75">
      <c r="B466" s="53"/>
    </row>
    <row r="467" ht="12.75">
      <c r="B467" s="53"/>
    </row>
    <row r="468" ht="12.75">
      <c r="B468" s="53"/>
    </row>
    <row r="469" ht="12.75">
      <c r="B469" s="53"/>
    </row>
    <row r="470" ht="12.75">
      <c r="B470" s="53"/>
    </row>
    <row r="471" ht="12.75">
      <c r="B471" s="53"/>
    </row>
    <row r="472" ht="12.75">
      <c r="B472" s="53"/>
    </row>
    <row r="473" ht="12.75">
      <c r="B473" s="53"/>
    </row>
    <row r="474" ht="12.75">
      <c r="B474" s="53"/>
    </row>
    <row r="475" ht="12.75">
      <c r="B475" s="53"/>
    </row>
    <row r="476" ht="12.75">
      <c r="B476" s="53"/>
    </row>
    <row r="477" ht="12.75">
      <c r="B477" s="53"/>
    </row>
  </sheetData>
  <mergeCells count="14">
    <mergeCell ref="A88:B88"/>
    <mergeCell ref="H1:J1"/>
    <mergeCell ref="A6:K6"/>
    <mergeCell ref="A7:K7"/>
    <mergeCell ref="A9:A11"/>
    <mergeCell ref="B9:B11"/>
    <mergeCell ref="C9:G9"/>
    <mergeCell ref="H9:J9"/>
    <mergeCell ref="K9:K11"/>
    <mergeCell ref="C10:C11"/>
    <mergeCell ref="D10:G10"/>
    <mergeCell ref="H10:H11"/>
    <mergeCell ref="J10:J11"/>
    <mergeCell ref="H3:K3"/>
  </mergeCells>
  <printOptions/>
  <pageMargins left="0.5511811023622047" right="0.27" top="0.21" bottom="0.25" header="0.21" footer="0.23"/>
  <pageSetup horizontalDpi="600" verticalDpi="600" orientation="portrait" paperSize="9" scale="76" r:id="rId1"/>
  <rowBreaks count="2" manualBreakCount="2">
    <brk id="39" max="10" man="1"/>
    <brk id="68" max="10" man="1"/>
  </rowBreaks>
</worksheet>
</file>

<file path=xl/worksheets/sheet3.xml><?xml version="1.0" encoding="utf-8"?>
<worksheet xmlns="http://schemas.openxmlformats.org/spreadsheetml/2006/main" xmlns:r="http://schemas.openxmlformats.org/officeDocument/2006/relationships">
  <dimension ref="A1:BG253"/>
  <sheetViews>
    <sheetView view="pageBreakPreview" zoomScale="75" zoomScaleSheetLayoutView="75" workbookViewId="0" topLeftCell="A29">
      <selection activeCell="M34" sqref="M34"/>
    </sheetView>
  </sheetViews>
  <sheetFormatPr defaultColWidth="9.00390625" defaultRowHeight="12.75"/>
  <cols>
    <col min="1" max="1" width="8.125" style="70" customWidth="1"/>
    <col min="2" max="2" width="34.75390625" style="34" customWidth="1"/>
    <col min="3" max="3" width="10.75390625" style="3" customWidth="1"/>
    <col min="4" max="4" width="9.25390625" style="3" customWidth="1"/>
    <col min="5" max="5" width="8.25390625" style="3" customWidth="1"/>
    <col min="6" max="6" width="9.75390625" style="3" customWidth="1"/>
    <col min="7" max="7" width="8.125" style="3" customWidth="1"/>
    <col min="8" max="8" width="9.125" style="3" bestFit="1" customWidth="1"/>
    <col min="9" max="9" width="8.75390625" style="3" customWidth="1"/>
    <col min="10" max="10" width="7.00390625" style="3" customWidth="1"/>
    <col min="11" max="11" width="10.875" style="3" customWidth="1"/>
    <col min="12" max="12" width="8.875" style="35" customWidth="1"/>
    <col min="13" max="13" width="9.125" style="35" bestFit="1" customWidth="1"/>
    <col min="14" max="14" width="9.25390625" style="35" bestFit="1" customWidth="1"/>
    <col min="15" max="59" width="8.875" style="35" customWidth="1"/>
    <col min="60" max="16384" width="8.875" style="3" customWidth="1"/>
  </cols>
  <sheetData>
    <row r="1" spans="6:11" ht="12.75" customHeight="1" hidden="1">
      <c r="F1" s="367"/>
      <c r="G1" s="367"/>
      <c r="H1" s="367"/>
      <c r="I1" s="367"/>
      <c r="J1" s="367"/>
      <c r="K1" s="367"/>
    </row>
    <row r="2" spans="6:11" ht="12.75" customHeight="1" hidden="1">
      <c r="F2" s="5"/>
      <c r="G2" s="5"/>
      <c r="H2" s="5"/>
      <c r="I2" s="5"/>
      <c r="J2" s="5"/>
      <c r="K2" s="5"/>
    </row>
    <row r="3" spans="6:11" ht="12.75" customHeight="1" hidden="1">
      <c r="F3" s="4" t="s">
        <v>70</v>
      </c>
      <c r="G3" s="4"/>
      <c r="H3" s="4"/>
      <c r="I3" s="4"/>
      <c r="J3" s="4"/>
      <c r="K3" s="4"/>
    </row>
    <row r="4" spans="5:11" ht="12.75">
      <c r="E4" s="36" t="s">
        <v>71</v>
      </c>
      <c r="H4" s="368" t="s">
        <v>72</v>
      </c>
      <c r="I4" s="368"/>
      <c r="J4" s="368"/>
      <c r="K4" s="368"/>
    </row>
    <row r="5" spans="8:11" ht="12.75">
      <c r="H5" s="5" t="s">
        <v>5</v>
      </c>
      <c r="I5" s="6"/>
      <c r="J5" s="6"/>
      <c r="K5" s="6"/>
    </row>
    <row r="6" spans="8:11" ht="13.5" customHeight="1">
      <c r="H6" s="370" t="s">
        <v>306</v>
      </c>
      <c r="I6" s="370"/>
      <c r="J6" s="370"/>
      <c r="K6" s="370"/>
    </row>
    <row r="7" ht="13.5" customHeight="1"/>
    <row r="8" spans="1:11" ht="15.75">
      <c r="A8" s="390" t="s">
        <v>200</v>
      </c>
      <c r="B8" s="390"/>
      <c r="C8" s="390"/>
      <c r="D8" s="390"/>
      <c r="E8" s="390"/>
      <c r="F8" s="390"/>
      <c r="G8" s="390"/>
      <c r="H8" s="390"/>
      <c r="I8" s="390"/>
      <c r="J8" s="390"/>
      <c r="K8" s="390"/>
    </row>
    <row r="9" spans="1:11" ht="15" customHeight="1">
      <c r="A9" s="390" t="s">
        <v>73</v>
      </c>
      <c r="B9" s="390"/>
      <c r="C9" s="390"/>
      <c r="D9" s="390"/>
      <c r="E9" s="390"/>
      <c r="F9" s="390"/>
      <c r="G9" s="390"/>
      <c r="H9" s="390"/>
      <c r="I9" s="390"/>
      <c r="J9" s="390"/>
      <c r="K9" s="390"/>
    </row>
    <row r="10" spans="8:11" ht="13.5" thickBot="1">
      <c r="H10" s="356" t="s">
        <v>201</v>
      </c>
      <c r="I10" s="356"/>
      <c r="J10" s="356"/>
      <c r="K10" s="356"/>
    </row>
    <row r="11" spans="1:11" ht="24.75" customHeight="1" thickBot="1">
      <c r="A11" s="391" t="s">
        <v>8</v>
      </c>
      <c r="B11" s="357" t="s">
        <v>74</v>
      </c>
      <c r="C11" s="352" t="s">
        <v>10</v>
      </c>
      <c r="D11" s="353"/>
      <c r="E11" s="353"/>
      <c r="F11" s="353"/>
      <c r="G11" s="354"/>
      <c r="H11" s="361" t="s">
        <v>11</v>
      </c>
      <c r="I11" s="362"/>
      <c r="J11" s="363"/>
      <c r="K11" s="385" t="s">
        <v>12</v>
      </c>
    </row>
    <row r="12" spans="1:11" ht="40.5" customHeight="1" thickBot="1">
      <c r="A12" s="392"/>
      <c r="B12" s="358"/>
      <c r="C12" s="365" t="s">
        <v>13</v>
      </c>
      <c r="D12" s="352" t="s">
        <v>14</v>
      </c>
      <c r="E12" s="353"/>
      <c r="F12" s="353"/>
      <c r="G12" s="354"/>
      <c r="H12" s="365" t="s">
        <v>13</v>
      </c>
      <c r="I12" s="15" t="s">
        <v>15</v>
      </c>
      <c r="J12" s="385" t="s">
        <v>16</v>
      </c>
      <c r="K12" s="397"/>
    </row>
    <row r="13" spans="1:11" ht="96" customHeight="1" thickBot="1">
      <c r="A13" s="393"/>
      <c r="B13" s="351"/>
      <c r="C13" s="366"/>
      <c r="D13" s="15" t="s">
        <v>17</v>
      </c>
      <c r="E13" s="15" t="s">
        <v>18</v>
      </c>
      <c r="F13" s="15" t="s">
        <v>19</v>
      </c>
      <c r="G13" s="15" t="s">
        <v>75</v>
      </c>
      <c r="H13" s="366"/>
      <c r="I13" s="15" t="s">
        <v>21</v>
      </c>
      <c r="J13" s="386"/>
      <c r="K13" s="386"/>
    </row>
    <row r="14" spans="1:11" ht="13.5" thickBot="1">
      <c r="A14" s="86">
        <v>1</v>
      </c>
      <c r="B14" s="87">
        <v>2</v>
      </c>
      <c r="C14" s="88">
        <v>3</v>
      </c>
      <c r="D14" s="88">
        <v>4</v>
      </c>
      <c r="E14" s="88">
        <v>5</v>
      </c>
      <c r="F14" s="88">
        <v>6</v>
      </c>
      <c r="G14" s="88">
        <v>7</v>
      </c>
      <c r="H14" s="88">
        <v>8</v>
      </c>
      <c r="I14" s="88">
        <v>9</v>
      </c>
      <c r="J14" s="88">
        <v>10</v>
      </c>
      <c r="K14" s="88">
        <v>11</v>
      </c>
    </row>
    <row r="15" spans="1:59" s="38" customFormat="1" ht="12.75">
      <c r="A15" s="95"/>
      <c r="B15" s="96" t="s">
        <v>76</v>
      </c>
      <c r="C15" s="97">
        <f>C16+C18+C19+C22+C24+C25+C26+C17+C20+C21</f>
        <v>18165.7</v>
      </c>
      <c r="D15" s="97">
        <f>D16+D18+D19+D22+D24+D25+D26+D17+D20+D21+D23</f>
        <v>562.5</v>
      </c>
      <c r="E15" s="97">
        <f>E16+E18+E19+E22+E24+E25+E26+E17+E20+E21+E23</f>
        <v>991.6</v>
      </c>
      <c r="F15" s="97">
        <f>F16+F18+F19+F22+F24+F25+F26+F17+F20+F21+F23</f>
        <v>16028.5</v>
      </c>
      <c r="G15" s="97">
        <f>G16+G18+G19+G22+G24+G25+G26+G17</f>
        <v>583.1</v>
      </c>
      <c r="H15" s="97">
        <f>H16+H18+H19+H22+H24+H25+H26+H23+H20+H21</f>
        <v>20060</v>
      </c>
      <c r="I15" s="97">
        <f>I16+I18+I19+I22+I24+I25+I26+I23</f>
        <v>20060</v>
      </c>
      <c r="J15" s="97">
        <f>J16+J18+J19+J22+J24+J25+J26</f>
        <v>0</v>
      </c>
      <c r="K15" s="98">
        <f>C15+H15</f>
        <v>38225.7</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ht="12.75">
      <c r="A16" s="77" t="s">
        <v>24</v>
      </c>
      <c r="B16" s="40" t="s">
        <v>25</v>
      </c>
      <c r="C16" s="30">
        <f>D16+E16+F16</f>
        <v>3868.8</v>
      </c>
      <c r="D16" s="25">
        <f>539.7+19.4</f>
        <v>559.1</v>
      </c>
      <c r="E16" s="25">
        <v>991.6</v>
      </c>
      <c r="F16" s="25">
        <f>2318.1</f>
        <v>2318.1</v>
      </c>
      <c r="G16" s="25"/>
      <c r="H16" s="25"/>
      <c r="I16" s="25"/>
      <c r="J16" s="25"/>
      <c r="K16" s="99">
        <f aca="true" t="shared" si="0" ref="K16:K108">C16+H16</f>
        <v>3868.8</v>
      </c>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row>
    <row r="17" spans="1:59" ht="25.5" customHeight="1">
      <c r="A17" s="77" t="s">
        <v>28</v>
      </c>
      <c r="B17" s="51" t="s">
        <v>29</v>
      </c>
      <c r="C17" s="30">
        <f>D17+E17+F17+G17</f>
        <v>6183.1</v>
      </c>
      <c r="D17" s="25"/>
      <c r="E17" s="25"/>
      <c r="F17" s="25">
        <f>3300+800+1500</f>
        <v>5600</v>
      </c>
      <c r="G17" s="25">
        <f>590.1-7</f>
        <v>583.1</v>
      </c>
      <c r="H17" s="25"/>
      <c r="I17" s="25"/>
      <c r="J17" s="25"/>
      <c r="K17" s="99">
        <f t="shared" si="0"/>
        <v>6183.1</v>
      </c>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row>
    <row r="18" spans="1:59" ht="25.5">
      <c r="A18" s="77" t="s">
        <v>77</v>
      </c>
      <c r="B18" s="40" t="s">
        <v>214</v>
      </c>
      <c r="C18" s="30">
        <f aca="true" t="shared" si="1" ref="C18:C26">D18+E18+F18+G18</f>
        <v>36</v>
      </c>
      <c r="D18" s="25"/>
      <c r="E18" s="25"/>
      <c r="F18" s="25">
        <v>36</v>
      </c>
      <c r="G18" s="25"/>
      <c r="H18" s="25"/>
      <c r="I18" s="25"/>
      <c r="J18" s="25"/>
      <c r="K18" s="99">
        <f t="shared" si="0"/>
        <v>36</v>
      </c>
      <c r="L18" s="266"/>
      <c r="M18" s="266"/>
      <c r="N18" s="266"/>
      <c r="O18" s="266"/>
      <c r="P18" s="266"/>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ht="25.5">
      <c r="A19" s="77" t="s">
        <v>38</v>
      </c>
      <c r="B19" s="24" t="s">
        <v>40</v>
      </c>
      <c r="C19" s="30">
        <f t="shared" si="1"/>
        <v>37</v>
      </c>
      <c r="D19" s="25"/>
      <c r="E19" s="25"/>
      <c r="F19" s="25">
        <f>27+10</f>
        <v>37</v>
      </c>
      <c r="G19" s="25"/>
      <c r="H19" s="25"/>
      <c r="I19" s="25"/>
      <c r="J19" s="25"/>
      <c r="K19" s="99">
        <f t="shared" si="0"/>
        <v>37</v>
      </c>
      <c r="L19" s="266"/>
      <c r="M19" s="105"/>
      <c r="N19" s="105"/>
      <c r="O19" s="105"/>
      <c r="P19" s="267"/>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ht="12.75">
      <c r="A20" s="77" t="s">
        <v>329</v>
      </c>
      <c r="B20" s="24" t="s">
        <v>328</v>
      </c>
      <c r="C20" s="30">
        <f t="shared" si="1"/>
        <v>1000</v>
      </c>
      <c r="D20" s="25"/>
      <c r="E20" s="25"/>
      <c r="F20" s="25">
        <v>1000</v>
      </c>
      <c r="G20" s="25"/>
      <c r="H20" s="25"/>
      <c r="I20" s="25"/>
      <c r="J20" s="25"/>
      <c r="K20" s="99">
        <f t="shared" si="0"/>
        <v>1000</v>
      </c>
      <c r="L20" s="266"/>
      <c r="M20" s="105"/>
      <c r="N20" s="105"/>
      <c r="O20" s="105"/>
      <c r="P20" s="267"/>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12.75">
      <c r="A21" s="77" t="s">
        <v>331</v>
      </c>
      <c r="B21" s="24" t="s">
        <v>78</v>
      </c>
      <c r="C21" s="30">
        <f t="shared" si="1"/>
        <v>2035</v>
      </c>
      <c r="D21" s="25"/>
      <c r="E21" s="25"/>
      <c r="F21" s="25">
        <f>1700+335</f>
        <v>2035</v>
      </c>
      <c r="G21" s="25"/>
      <c r="H21" s="25"/>
      <c r="I21" s="25"/>
      <c r="J21" s="25"/>
      <c r="K21" s="99">
        <f t="shared" si="0"/>
        <v>2035</v>
      </c>
      <c r="L21" s="266"/>
      <c r="M21" s="105"/>
      <c r="N21" s="105"/>
      <c r="O21" s="105"/>
      <c r="P21" s="267"/>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row>
    <row r="22" spans="1:59" ht="25.5">
      <c r="A22" s="77">
        <v>180109</v>
      </c>
      <c r="B22" s="24" t="s">
        <v>59</v>
      </c>
      <c r="C22" s="30">
        <f t="shared" si="1"/>
        <v>4724.2</v>
      </c>
      <c r="D22" s="25"/>
      <c r="E22" s="25"/>
      <c r="F22" s="25">
        <f>4700.4+38.7-14.9</f>
        <v>4724.2</v>
      </c>
      <c r="G22" s="25"/>
      <c r="H22" s="25"/>
      <c r="I22" s="25"/>
      <c r="J22" s="25"/>
      <c r="K22" s="99">
        <f t="shared" si="0"/>
        <v>4724.2</v>
      </c>
      <c r="L22" s="266"/>
      <c r="M22" s="267"/>
      <c r="N22" s="267"/>
      <c r="O22" s="267"/>
      <c r="P22" s="267"/>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row>
    <row r="23" spans="1:59" ht="63.75">
      <c r="A23" s="77" t="s">
        <v>313</v>
      </c>
      <c r="B23" s="20" t="s">
        <v>314</v>
      </c>
      <c r="C23" s="30"/>
      <c r="D23" s="25"/>
      <c r="E23" s="25"/>
      <c r="F23" s="25"/>
      <c r="G23" s="25"/>
      <c r="H23" s="25">
        <f>30+30</f>
        <v>60</v>
      </c>
      <c r="I23" s="25">
        <f>30+30</f>
        <v>60</v>
      </c>
      <c r="J23" s="25"/>
      <c r="K23" s="99">
        <f t="shared" si="0"/>
        <v>60</v>
      </c>
      <c r="L23" s="266"/>
      <c r="M23" s="267"/>
      <c r="N23" s="267"/>
      <c r="O23" s="267"/>
      <c r="P23" s="267"/>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row>
    <row r="24" spans="1:59" ht="13.5" customHeight="1">
      <c r="A24" s="81">
        <v>150101</v>
      </c>
      <c r="B24" s="20" t="s">
        <v>56</v>
      </c>
      <c r="C24" s="30">
        <f t="shared" si="1"/>
        <v>0</v>
      </c>
      <c r="D24" s="25"/>
      <c r="E24" s="25"/>
      <c r="F24" s="25"/>
      <c r="G24" s="25"/>
      <c r="H24" s="25">
        <v>20000</v>
      </c>
      <c r="I24" s="25">
        <v>20000</v>
      </c>
      <c r="J24" s="25"/>
      <c r="K24" s="99">
        <f t="shared" si="0"/>
        <v>20000</v>
      </c>
      <c r="L24" s="266"/>
      <c r="M24" s="105"/>
      <c r="N24" s="105"/>
      <c r="O24" s="105"/>
      <c r="P24" s="267"/>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row>
    <row r="25" spans="1:59" ht="12.75">
      <c r="A25" s="77">
        <v>250404</v>
      </c>
      <c r="B25" s="40" t="s">
        <v>78</v>
      </c>
      <c r="C25" s="30">
        <f t="shared" si="1"/>
        <v>274.6</v>
      </c>
      <c r="D25" s="25"/>
      <c r="E25" s="25"/>
      <c r="F25" s="25">
        <f>225+49.6</f>
        <v>274.6</v>
      </c>
      <c r="G25" s="25"/>
      <c r="H25" s="25"/>
      <c r="I25" s="25"/>
      <c r="J25" s="25"/>
      <c r="K25" s="99">
        <f t="shared" si="0"/>
        <v>274.6</v>
      </c>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row>
    <row r="26" spans="1:59" ht="25.5">
      <c r="A26" s="77" t="s">
        <v>79</v>
      </c>
      <c r="B26" s="24" t="s">
        <v>210</v>
      </c>
      <c r="C26" s="30">
        <f t="shared" si="1"/>
        <v>7</v>
      </c>
      <c r="D26" s="25">
        <f>1.7+1.7</f>
        <v>3.4</v>
      </c>
      <c r="E26" s="25"/>
      <c r="F26" s="25">
        <f>105-101.5+1.8-1.7</f>
        <v>3.5999999999999996</v>
      </c>
      <c r="G26" s="25"/>
      <c r="H26" s="25"/>
      <c r="I26" s="25"/>
      <c r="J26" s="25"/>
      <c r="K26" s="99">
        <f t="shared" si="0"/>
        <v>7</v>
      </c>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row>
    <row r="27" spans="1:12" s="21" customFormat="1" ht="27.75" customHeight="1">
      <c r="A27" s="79"/>
      <c r="B27" s="56" t="s">
        <v>80</v>
      </c>
      <c r="C27" s="48">
        <f>C28+C31</f>
        <v>84586.80000000002</v>
      </c>
      <c r="D27" s="48">
        <f aca="true" t="shared" si="2" ref="D27:I27">D28+D31</f>
        <v>34494.3</v>
      </c>
      <c r="E27" s="48">
        <f t="shared" si="2"/>
        <v>8444.7</v>
      </c>
      <c r="F27" s="48">
        <f>F28+F31</f>
        <v>38770.8</v>
      </c>
      <c r="G27" s="48">
        <f t="shared" si="2"/>
        <v>2877</v>
      </c>
      <c r="H27" s="48">
        <f t="shared" si="2"/>
        <v>1088.8</v>
      </c>
      <c r="I27" s="48">
        <f t="shared" si="2"/>
        <v>0</v>
      </c>
      <c r="J27" s="48"/>
      <c r="K27" s="100">
        <f t="shared" si="0"/>
        <v>85675.60000000002</v>
      </c>
      <c r="L27" s="23"/>
    </row>
    <row r="28" spans="1:59" ht="38.25">
      <c r="A28" s="77" t="s">
        <v>30</v>
      </c>
      <c r="B28" s="24" t="s">
        <v>223</v>
      </c>
      <c r="C28" s="30">
        <f>D28+E28+F28+G28</f>
        <v>84214.70000000001</v>
      </c>
      <c r="D28" s="30">
        <f>32986.3+1305.5</f>
        <v>34291.8</v>
      </c>
      <c r="E28" s="30">
        <v>8440.6</v>
      </c>
      <c r="F28" s="30">
        <f>35411.3+14.9+186.5+1092.6+1900</f>
        <v>38605.3</v>
      </c>
      <c r="G28" s="30">
        <f>2906-34+5</f>
        <v>2877</v>
      </c>
      <c r="H28" s="25">
        <v>1088.8</v>
      </c>
      <c r="I28" s="25"/>
      <c r="J28" s="25"/>
      <c r="K28" s="99">
        <f t="shared" si="0"/>
        <v>85303.50000000001</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row>
    <row r="29" spans="1:59" ht="25.5">
      <c r="A29" s="77"/>
      <c r="B29" s="40" t="s">
        <v>228</v>
      </c>
      <c r="C29" s="30">
        <f>D29+E29+F29+G29</f>
        <v>79.5</v>
      </c>
      <c r="D29" s="25"/>
      <c r="E29" s="25"/>
      <c r="F29" s="25">
        <v>79.5</v>
      </c>
      <c r="G29" s="25"/>
      <c r="H29" s="25"/>
      <c r="I29" s="25"/>
      <c r="J29" s="25"/>
      <c r="K29" s="99">
        <f>C29+H29</f>
        <v>79.5</v>
      </c>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row>
    <row r="30" spans="1:59" ht="96.75" customHeight="1">
      <c r="A30" s="77"/>
      <c r="B30" s="146" t="s">
        <v>229</v>
      </c>
      <c r="C30" s="30">
        <f>D30+E30+F30+G30</f>
        <v>593.9</v>
      </c>
      <c r="D30" s="25">
        <f>195.1+9.2</f>
        <v>204.29999999999998</v>
      </c>
      <c r="E30" s="25">
        <v>49</v>
      </c>
      <c r="F30" s="25">
        <f>321.6+14.9+4.1</f>
        <v>340.6</v>
      </c>
      <c r="G30" s="25"/>
      <c r="H30" s="25">
        <v>197</v>
      </c>
      <c r="I30" s="25"/>
      <c r="J30" s="25"/>
      <c r="K30" s="99">
        <f>C30+H30</f>
        <v>790.9</v>
      </c>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row>
    <row r="31" spans="1:59" ht="25.5" customHeight="1">
      <c r="A31" s="77">
        <v>130000</v>
      </c>
      <c r="B31" s="40" t="s">
        <v>81</v>
      </c>
      <c r="C31" s="30">
        <f>D31+E31+F31</f>
        <v>372.1</v>
      </c>
      <c r="D31" s="25">
        <f>200.5+2</f>
        <v>202.5</v>
      </c>
      <c r="E31" s="25">
        <v>4.1</v>
      </c>
      <c r="F31" s="25">
        <f>164.7+0.8</f>
        <v>165.5</v>
      </c>
      <c r="G31" s="25"/>
      <c r="H31" s="25"/>
      <c r="I31" s="25"/>
      <c r="J31" s="25"/>
      <c r="K31" s="99">
        <f t="shared" si="0"/>
        <v>372.1</v>
      </c>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row>
    <row r="32" spans="1:59" s="21" customFormat="1" ht="12.75">
      <c r="A32" s="79"/>
      <c r="B32" s="57" t="s">
        <v>82</v>
      </c>
      <c r="C32" s="48">
        <f>C33+C36+C37+C38</f>
        <v>247890.40000000002</v>
      </c>
      <c r="D32" s="48">
        <f>D33+D36+D37+D38</f>
        <v>94711.8</v>
      </c>
      <c r="E32" s="48">
        <f>E33+E36+E37+E38</f>
        <v>17763.9</v>
      </c>
      <c r="F32" s="48">
        <f>F33+F36+F37+F38+F34+F39</f>
        <v>125709</v>
      </c>
      <c r="G32" s="48">
        <f>G33+G36+G37+G38</f>
        <v>9705.7</v>
      </c>
      <c r="H32" s="48">
        <f>H33+H36+H37+H38+H39</f>
        <v>22033.300000000003</v>
      </c>
      <c r="I32" s="48">
        <f>I33+I36+I37+I38+I39</f>
        <v>10964.9</v>
      </c>
      <c r="J32" s="48">
        <f>J33+J35+J36+J37</f>
        <v>0</v>
      </c>
      <c r="K32" s="100">
        <f>C32+H32</f>
        <v>269923.7</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59" ht="61.5" customHeight="1">
      <c r="A33" s="77" t="s">
        <v>32</v>
      </c>
      <c r="B33" s="109" t="s">
        <v>297</v>
      </c>
      <c r="C33" s="30">
        <f>D33+E33+F33+G33</f>
        <v>240905.90000000002</v>
      </c>
      <c r="D33" s="25">
        <f>87737.8+4196.7</f>
        <v>91934.5</v>
      </c>
      <c r="E33" s="25">
        <v>17340.4</v>
      </c>
      <c r="F33" s="25">
        <f>94179.5+150+8269+1200+1552.8+400+2360+13814</f>
        <v>121925.3</v>
      </c>
      <c r="G33" s="25">
        <f>G34</f>
        <v>9705.7</v>
      </c>
      <c r="H33" s="25">
        <f>8100</f>
        <v>8100</v>
      </c>
      <c r="I33" s="25"/>
      <c r="J33" s="25"/>
      <c r="K33" s="99">
        <f t="shared" si="0"/>
        <v>249005.90000000002</v>
      </c>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row>
    <row r="34" spans="1:59" ht="24" customHeight="1">
      <c r="A34" s="108"/>
      <c r="B34" s="24" t="s">
        <v>311</v>
      </c>
      <c r="C34" s="154">
        <f>D34+E34+F34+G34</f>
        <v>9705.7</v>
      </c>
      <c r="D34" s="25"/>
      <c r="E34" s="25"/>
      <c r="F34" s="25"/>
      <c r="G34" s="25">
        <f>9687.9-37+7.2+47.6</f>
        <v>9705.7</v>
      </c>
      <c r="H34" s="25"/>
      <c r="I34" s="25"/>
      <c r="J34" s="25"/>
      <c r="K34" s="99">
        <f t="shared" si="0"/>
        <v>9705.7</v>
      </c>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row>
    <row r="35" spans="1:59" ht="12.75">
      <c r="A35" s="77"/>
      <c r="B35" s="110" t="s">
        <v>312</v>
      </c>
      <c r="C35" s="30">
        <f>D35+E35+F35</f>
        <v>19455</v>
      </c>
      <c r="D35" s="25"/>
      <c r="E35" s="25"/>
      <c r="F35" s="25">
        <f>7269+1000+13814-2628</f>
        <v>19455</v>
      </c>
      <c r="G35" s="25"/>
      <c r="H35" s="25"/>
      <c r="I35" s="25"/>
      <c r="J35" s="25"/>
      <c r="K35" s="99">
        <f t="shared" si="0"/>
        <v>19455</v>
      </c>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row>
    <row r="36" spans="1:59" ht="51">
      <c r="A36" s="77" t="s">
        <v>30</v>
      </c>
      <c r="B36" s="40" t="s">
        <v>230</v>
      </c>
      <c r="C36" s="30">
        <f>D36+E36+F36</f>
        <v>6607.099999999999</v>
      </c>
      <c r="D36" s="25">
        <f>2564.5+111.5</f>
        <v>2676</v>
      </c>
      <c r="E36" s="25">
        <v>411.7</v>
      </c>
      <c r="F36" s="25">
        <f>2926.1+593.3</f>
        <v>3519.3999999999996</v>
      </c>
      <c r="G36" s="25"/>
      <c r="H36" s="25">
        <f>2903.6+64.8</f>
        <v>2968.4</v>
      </c>
      <c r="I36" s="25"/>
      <c r="J36" s="25"/>
      <c r="K36" s="99">
        <f t="shared" si="0"/>
        <v>9575.5</v>
      </c>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row>
    <row r="37" spans="1:59" ht="12.75">
      <c r="A37" s="77">
        <v>110201</v>
      </c>
      <c r="B37" s="40" t="s">
        <v>83</v>
      </c>
      <c r="C37" s="30">
        <f>D37+E37+F37</f>
        <v>377.4</v>
      </c>
      <c r="D37" s="25">
        <f>97.1+4.2</f>
        <v>101.3</v>
      </c>
      <c r="E37" s="25">
        <v>11.8</v>
      </c>
      <c r="F37" s="25">
        <f>262.7+1.6</f>
        <v>264.3</v>
      </c>
      <c r="G37" s="25"/>
      <c r="H37" s="25"/>
      <c r="I37" s="25"/>
      <c r="J37" s="25"/>
      <c r="K37" s="99">
        <f t="shared" si="0"/>
        <v>377.4</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row>
    <row r="38" spans="1:13" s="21" customFormat="1" ht="55.5" customHeight="1">
      <c r="A38" s="81" t="s">
        <v>283</v>
      </c>
      <c r="B38" s="146" t="s">
        <v>301</v>
      </c>
      <c r="C38" s="30">
        <f>D38+E38+F38</f>
        <v>0</v>
      </c>
      <c r="D38" s="30"/>
      <c r="E38" s="30"/>
      <c r="F38" s="30"/>
      <c r="G38" s="30"/>
      <c r="H38" s="30">
        <f>I38</f>
        <v>10000</v>
      </c>
      <c r="I38" s="30">
        <v>10000</v>
      </c>
      <c r="J38" s="30"/>
      <c r="K38" s="99">
        <f t="shared" si="0"/>
        <v>10000</v>
      </c>
      <c r="L38" s="28"/>
      <c r="M38" s="29"/>
    </row>
    <row r="39" spans="1:13" s="21" customFormat="1" ht="12.75">
      <c r="A39" s="81" t="s">
        <v>326</v>
      </c>
      <c r="B39" s="20" t="s">
        <v>327</v>
      </c>
      <c r="C39" s="30">
        <f>D39+E39+F39</f>
        <v>0</v>
      </c>
      <c r="D39" s="30"/>
      <c r="E39" s="30"/>
      <c r="F39" s="30"/>
      <c r="G39" s="30"/>
      <c r="H39" s="30">
        <f>I39</f>
        <v>964.9</v>
      </c>
      <c r="I39" s="30">
        <f>900+64.9</f>
        <v>964.9</v>
      </c>
      <c r="J39" s="30"/>
      <c r="K39" s="99">
        <f t="shared" si="0"/>
        <v>964.9</v>
      </c>
      <c r="L39" s="28"/>
      <c r="M39" s="29"/>
    </row>
    <row r="40" spans="1:59" s="21" customFormat="1" ht="25.5">
      <c r="A40" s="79"/>
      <c r="B40" s="57" t="s">
        <v>84</v>
      </c>
      <c r="C40" s="48">
        <f>C41+C42+C43+C44+C47+C48+C49+C50+C51+C52+C46</f>
        <v>50217.399999999994</v>
      </c>
      <c r="D40" s="48">
        <f aca="true" t="shared" si="3" ref="D40:I40">D41+D42+D43+D44+D47+D48+D49+D50+D51+D52</f>
        <v>13985.599999999999</v>
      </c>
      <c r="E40" s="48">
        <f t="shared" si="3"/>
        <v>4522.9</v>
      </c>
      <c r="F40" s="48">
        <f>F41+F42+F43+F44+F47+F48+F49+F50+F51+F52+F46</f>
        <v>31703.999999999996</v>
      </c>
      <c r="G40" s="48">
        <f t="shared" si="3"/>
        <v>4.9</v>
      </c>
      <c r="H40" s="48">
        <f>H41+H42+H43+H44+H47+H48+H49+H50+H51+H52+H46</f>
        <v>6743.9</v>
      </c>
      <c r="I40" s="48">
        <f t="shared" si="3"/>
        <v>0</v>
      </c>
      <c r="J40" s="48"/>
      <c r="K40" s="100">
        <f>C40+H40</f>
        <v>56961.299999999996</v>
      </c>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59" ht="13.5" customHeight="1">
      <c r="A41" s="77" t="s">
        <v>36</v>
      </c>
      <c r="B41" s="24" t="s">
        <v>37</v>
      </c>
      <c r="C41" s="30">
        <f>D41+E41+F41</f>
        <v>9.6</v>
      </c>
      <c r="D41" s="25"/>
      <c r="E41" s="25"/>
      <c r="F41" s="25">
        <v>9.6</v>
      </c>
      <c r="G41" s="25"/>
      <c r="H41" s="25"/>
      <c r="I41" s="25"/>
      <c r="J41" s="25"/>
      <c r="K41" s="99">
        <f t="shared" si="0"/>
        <v>9.6</v>
      </c>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row>
    <row r="42" spans="1:59" ht="25.5">
      <c r="A42" s="77" t="s">
        <v>286</v>
      </c>
      <c r="B42" s="20" t="s">
        <v>287</v>
      </c>
      <c r="C42" s="30">
        <f>D42+E42+F42</f>
        <v>8361.5</v>
      </c>
      <c r="D42" s="25">
        <f>2746.1+171.7</f>
        <v>2917.7999999999997</v>
      </c>
      <c r="E42" s="25">
        <v>657.8</v>
      </c>
      <c r="F42" s="25">
        <f>4220.3+63.6+502</f>
        <v>4785.900000000001</v>
      </c>
      <c r="G42" s="25"/>
      <c r="H42" s="25">
        <v>435.4</v>
      </c>
      <c r="I42" s="25"/>
      <c r="J42" s="25"/>
      <c r="K42" s="99">
        <f t="shared" si="0"/>
        <v>8796.9</v>
      </c>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row>
    <row r="43" spans="1:59" ht="38.25">
      <c r="A43" s="77" t="s">
        <v>288</v>
      </c>
      <c r="B43" s="20" t="s">
        <v>289</v>
      </c>
      <c r="C43" s="30">
        <f>D43+E43+F43</f>
        <v>36136.299999999996</v>
      </c>
      <c r="D43" s="25">
        <f>9812.9+494.8</f>
        <v>10307.699999999999</v>
      </c>
      <c r="E43" s="25">
        <v>3796.7</v>
      </c>
      <c r="F43" s="25">
        <f>19224.8+183.1+410+2716-502</f>
        <v>22031.899999999998</v>
      </c>
      <c r="G43" s="25"/>
      <c r="H43" s="25">
        <v>5906.5</v>
      </c>
      <c r="I43" s="25"/>
      <c r="J43" s="25"/>
      <c r="K43" s="99">
        <f t="shared" si="0"/>
        <v>42042.799999999996</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row>
    <row r="44" spans="1:59" ht="25.5">
      <c r="A44" s="77" t="s">
        <v>38</v>
      </c>
      <c r="B44" s="24" t="s">
        <v>40</v>
      </c>
      <c r="C44" s="30">
        <f>D44+E44+F44+G44</f>
        <v>1043.9</v>
      </c>
      <c r="D44" s="25"/>
      <c r="E44" s="25"/>
      <c r="F44" s="25">
        <f>50+720+13+256</f>
        <v>1039</v>
      </c>
      <c r="G44" s="25">
        <v>4.9</v>
      </c>
      <c r="H44" s="25">
        <v>205</v>
      </c>
      <c r="I44" s="25"/>
      <c r="J44" s="25"/>
      <c r="K44" s="99">
        <f t="shared" si="0"/>
        <v>1248.9</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row>
    <row r="45" spans="1:59" ht="72">
      <c r="A45" s="77"/>
      <c r="B45" s="89" t="s">
        <v>85</v>
      </c>
      <c r="C45" s="30">
        <v>720</v>
      </c>
      <c r="D45" s="25"/>
      <c r="E45" s="25"/>
      <c r="F45" s="25">
        <v>720</v>
      </c>
      <c r="G45" s="25"/>
      <c r="H45" s="25"/>
      <c r="I45" s="25"/>
      <c r="J45" s="25"/>
      <c r="K45" s="99">
        <f t="shared" si="0"/>
        <v>720</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6" spans="1:59" ht="25.5">
      <c r="A46" s="77" t="s">
        <v>334</v>
      </c>
      <c r="B46" s="20" t="s">
        <v>335</v>
      </c>
      <c r="C46" s="46">
        <f>D46+E46+F46</f>
        <v>1068.3</v>
      </c>
      <c r="D46" s="46"/>
      <c r="E46" s="46"/>
      <c r="F46" s="46">
        <v>1068.3</v>
      </c>
      <c r="G46" s="46"/>
      <c r="H46" s="46"/>
      <c r="I46" s="46"/>
      <c r="J46" s="46"/>
      <c r="K46" s="78">
        <f t="shared" si="0"/>
        <v>1068.3</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row>
    <row r="47" spans="1:59" ht="38.25">
      <c r="A47" s="77" t="s">
        <v>41</v>
      </c>
      <c r="B47" s="24" t="s">
        <v>86</v>
      </c>
      <c r="C47" s="30">
        <f aca="true" t="shared" si="4" ref="C47:C65">D47+E47+F47</f>
        <v>1012.4000000000001</v>
      </c>
      <c r="D47" s="25"/>
      <c r="E47" s="25"/>
      <c r="F47" s="25">
        <f>518.7+493.7</f>
        <v>1012.4000000000001</v>
      </c>
      <c r="G47" s="25"/>
      <c r="H47" s="25"/>
      <c r="I47" s="25"/>
      <c r="J47" s="25"/>
      <c r="K47" s="99">
        <f t="shared" si="0"/>
        <v>1012.4000000000001</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row>
    <row r="48" spans="1:59" ht="94.5" customHeight="1">
      <c r="A48" s="77" t="s">
        <v>43</v>
      </c>
      <c r="B48" s="24" t="s">
        <v>208</v>
      </c>
      <c r="C48" s="30">
        <f t="shared" si="4"/>
        <v>500</v>
      </c>
      <c r="D48" s="25"/>
      <c r="E48" s="25"/>
      <c r="F48" s="25">
        <v>500</v>
      </c>
      <c r="G48" s="25"/>
      <c r="H48" s="25"/>
      <c r="I48" s="25"/>
      <c r="J48" s="25"/>
      <c r="K48" s="99">
        <f t="shared" si="0"/>
        <v>500</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row>
    <row r="49" spans="1:59" ht="25.5">
      <c r="A49" s="77" t="s">
        <v>44</v>
      </c>
      <c r="B49" s="40" t="s">
        <v>45</v>
      </c>
      <c r="C49" s="30">
        <f t="shared" si="4"/>
        <v>100.1</v>
      </c>
      <c r="D49" s="25"/>
      <c r="E49" s="25"/>
      <c r="F49" s="25">
        <f>50.1+50</f>
        <v>100.1</v>
      </c>
      <c r="G49" s="25"/>
      <c r="H49" s="25"/>
      <c r="I49" s="25"/>
      <c r="J49" s="25"/>
      <c r="K49" s="99">
        <f t="shared" si="0"/>
        <v>100.1</v>
      </c>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row>
    <row r="50" spans="1:59" ht="38.25">
      <c r="A50" s="77" t="s">
        <v>293</v>
      </c>
      <c r="B50" s="20" t="s">
        <v>294</v>
      </c>
      <c r="C50" s="30">
        <f t="shared" si="4"/>
        <v>12.1</v>
      </c>
      <c r="D50" s="25">
        <v>8.6</v>
      </c>
      <c r="E50" s="25"/>
      <c r="F50" s="25">
        <v>3.5</v>
      </c>
      <c r="G50" s="25"/>
      <c r="H50" s="25"/>
      <c r="I50" s="25"/>
      <c r="J50" s="25"/>
      <c r="K50" s="99">
        <f t="shared" si="0"/>
        <v>12.1</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row>
    <row r="51" spans="1:59" ht="30" customHeight="1">
      <c r="A51" s="77" t="s">
        <v>46</v>
      </c>
      <c r="B51" s="24" t="s">
        <v>296</v>
      </c>
      <c r="C51" s="30">
        <f t="shared" si="4"/>
        <v>1973.1999999999998</v>
      </c>
      <c r="D51" s="25">
        <f>750.8+0.7</f>
        <v>751.5</v>
      </c>
      <c r="E51" s="25">
        <v>68.4</v>
      </c>
      <c r="F51" s="25">
        <f>1153+0.3</f>
        <v>1153.3</v>
      </c>
      <c r="G51" s="25"/>
      <c r="H51" s="25">
        <v>197</v>
      </c>
      <c r="I51" s="25"/>
      <c r="J51" s="25"/>
      <c r="K51" s="99">
        <f t="shared" si="0"/>
        <v>2170.2</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row>
    <row r="52" spans="1:59" ht="12.75" hidden="1">
      <c r="A52" s="77" t="s">
        <v>284</v>
      </c>
      <c r="B52" s="113"/>
      <c r="C52" s="30">
        <f t="shared" si="4"/>
        <v>0</v>
      </c>
      <c r="D52" s="30"/>
      <c r="E52" s="30"/>
      <c r="F52" s="30"/>
      <c r="G52" s="30"/>
      <c r="H52" s="30"/>
      <c r="I52" s="30"/>
      <c r="J52" s="30"/>
      <c r="K52" s="99">
        <f>C52+H52</f>
        <v>0</v>
      </c>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row>
    <row r="53" spans="1:59" ht="24" customHeight="1">
      <c r="A53" s="79"/>
      <c r="B53" s="58" t="s">
        <v>87</v>
      </c>
      <c r="C53" s="48">
        <f>C54</f>
        <v>6148.7</v>
      </c>
      <c r="D53" s="48">
        <f aca="true" t="shared" si="5" ref="D53:J53">D54</f>
        <v>2096.7</v>
      </c>
      <c r="E53" s="48">
        <f t="shared" si="5"/>
        <v>669</v>
      </c>
      <c r="F53" s="48">
        <f t="shared" si="5"/>
        <v>3383</v>
      </c>
      <c r="G53" s="48">
        <f t="shared" si="5"/>
        <v>0</v>
      </c>
      <c r="H53" s="48">
        <f t="shared" si="5"/>
        <v>13.2</v>
      </c>
      <c r="I53" s="48">
        <f t="shared" si="5"/>
        <v>0</v>
      </c>
      <c r="J53" s="48">
        <f t="shared" si="5"/>
        <v>0</v>
      </c>
      <c r="K53" s="100">
        <f t="shared" si="0"/>
        <v>6161.9</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row>
    <row r="54" spans="1:59" ht="12.75">
      <c r="A54" s="77" t="s">
        <v>47</v>
      </c>
      <c r="B54" s="40" t="s">
        <v>48</v>
      </c>
      <c r="C54" s="30">
        <f t="shared" si="4"/>
        <v>6148.7</v>
      </c>
      <c r="D54" s="25">
        <v>2096.7</v>
      </c>
      <c r="E54" s="25">
        <v>669</v>
      </c>
      <c r="F54" s="25">
        <v>3383</v>
      </c>
      <c r="G54" s="25"/>
      <c r="H54" s="25">
        <v>13.2</v>
      </c>
      <c r="I54" s="25"/>
      <c r="J54" s="25"/>
      <c r="K54" s="99">
        <f t="shared" si="0"/>
        <v>6161.9</v>
      </c>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row>
    <row r="55" spans="1:11" ht="25.5">
      <c r="A55" s="79"/>
      <c r="B55" s="58" t="s">
        <v>304</v>
      </c>
      <c r="C55" s="48">
        <f>D55+E55+F55+G55</f>
        <v>5518.1</v>
      </c>
      <c r="D55" s="48">
        <f aca="true" t="shared" si="6" ref="D55:I55">D56+D57+D58+D59+D60+D61+D62+D63+D64+D65</f>
        <v>345.2</v>
      </c>
      <c r="E55" s="48">
        <f t="shared" si="6"/>
        <v>48.1</v>
      </c>
      <c r="F55" s="48">
        <f>F56+F57+F58+F59+F60+F61+F62+F63+F64+F65</f>
        <v>3237.3999999999996</v>
      </c>
      <c r="G55" s="48">
        <f t="shared" si="6"/>
        <v>1887.4</v>
      </c>
      <c r="H55" s="48">
        <f t="shared" si="6"/>
        <v>0</v>
      </c>
      <c r="I55" s="48">
        <f t="shared" si="6"/>
        <v>0</v>
      </c>
      <c r="J55" s="27"/>
      <c r="K55" s="100">
        <f t="shared" si="0"/>
        <v>5518.1</v>
      </c>
    </row>
    <row r="56" spans="1:59" ht="51">
      <c r="A56" s="77" t="s">
        <v>224</v>
      </c>
      <c r="B56" s="40" t="s">
        <v>225</v>
      </c>
      <c r="C56" s="30">
        <f>D56+E56+F56+G56</f>
        <v>3737.4</v>
      </c>
      <c r="D56" s="30"/>
      <c r="E56" s="30"/>
      <c r="F56" s="30">
        <f>250+1600</f>
        <v>1850</v>
      </c>
      <c r="G56" s="25">
        <f>1807.4+80</f>
        <v>1887.4</v>
      </c>
      <c r="H56" s="25"/>
      <c r="I56" s="25"/>
      <c r="J56" s="25"/>
      <c r="K56" s="99">
        <f t="shared" si="0"/>
        <v>3737.4</v>
      </c>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row>
    <row r="57" spans="1:59" ht="25.5">
      <c r="A57" s="77" t="s">
        <v>257</v>
      </c>
      <c r="B57" s="20" t="s">
        <v>258</v>
      </c>
      <c r="C57" s="30">
        <f t="shared" si="4"/>
        <v>281.9</v>
      </c>
      <c r="D57" s="30">
        <v>155.7</v>
      </c>
      <c r="E57" s="30">
        <v>11</v>
      </c>
      <c r="F57" s="30">
        <v>115.2</v>
      </c>
      <c r="G57" s="25"/>
      <c r="H57" s="25"/>
      <c r="I57" s="25"/>
      <c r="J57" s="25"/>
      <c r="K57" s="99">
        <f t="shared" si="0"/>
        <v>281.9</v>
      </c>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row>
    <row r="58" spans="1:59" ht="25.5">
      <c r="A58" s="77" t="s">
        <v>259</v>
      </c>
      <c r="B58" s="20" t="s">
        <v>290</v>
      </c>
      <c r="C58" s="30">
        <f t="shared" si="4"/>
        <v>152.7</v>
      </c>
      <c r="D58" s="30"/>
      <c r="E58" s="30"/>
      <c r="F58" s="30">
        <v>152.7</v>
      </c>
      <c r="G58" s="25"/>
      <c r="H58" s="25"/>
      <c r="I58" s="25"/>
      <c r="J58" s="25"/>
      <c r="K58" s="99">
        <f t="shared" si="0"/>
        <v>152.7</v>
      </c>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row>
    <row r="59" spans="1:59" ht="38.25">
      <c r="A59" s="77" t="s">
        <v>260</v>
      </c>
      <c r="B59" s="20" t="s">
        <v>262</v>
      </c>
      <c r="C59" s="30">
        <f t="shared" si="4"/>
        <v>408.1</v>
      </c>
      <c r="D59" s="30"/>
      <c r="E59" s="30"/>
      <c r="F59" s="30">
        <f>374.1-48.1+82.1</f>
        <v>408.1</v>
      </c>
      <c r="G59" s="25"/>
      <c r="H59" s="25"/>
      <c r="I59" s="25"/>
      <c r="J59" s="25"/>
      <c r="K59" s="99">
        <f t="shared" si="0"/>
        <v>408.1</v>
      </c>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row>
    <row r="60" spans="1:59" ht="38.25">
      <c r="A60" s="77" t="s">
        <v>261</v>
      </c>
      <c r="B60" s="20" t="s">
        <v>292</v>
      </c>
      <c r="C60" s="30">
        <f t="shared" si="4"/>
        <v>30</v>
      </c>
      <c r="D60" s="30"/>
      <c r="E60" s="30"/>
      <c r="F60" s="30">
        <v>30</v>
      </c>
      <c r="G60" s="25"/>
      <c r="H60" s="25"/>
      <c r="I60" s="25"/>
      <c r="J60" s="25"/>
      <c r="K60" s="99">
        <f t="shared" si="0"/>
        <v>30</v>
      </c>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row>
    <row r="61" spans="1:59" ht="25.5">
      <c r="A61" s="77" t="s">
        <v>263</v>
      </c>
      <c r="B61" s="20" t="s">
        <v>264</v>
      </c>
      <c r="C61" s="30">
        <f t="shared" si="4"/>
        <v>500.4</v>
      </c>
      <c r="D61" s="30">
        <f>105.2+7.9+20.1</f>
        <v>133.20000000000002</v>
      </c>
      <c r="E61" s="30">
        <f>14+2</f>
        <v>16</v>
      </c>
      <c r="F61" s="30">
        <f>301.7-2+3+28+20.5</f>
        <v>351.2</v>
      </c>
      <c r="G61" s="25"/>
      <c r="H61" s="25"/>
      <c r="I61" s="25"/>
      <c r="J61" s="25"/>
      <c r="K61" s="99">
        <f t="shared" si="0"/>
        <v>500.4</v>
      </c>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row>
    <row r="62" spans="1:59" ht="12.75">
      <c r="A62" s="77" t="s">
        <v>265</v>
      </c>
      <c r="B62" s="20" t="s">
        <v>266</v>
      </c>
      <c r="C62" s="30">
        <f t="shared" si="4"/>
        <v>300.9</v>
      </c>
      <c r="D62" s="30">
        <f>38.1+0.7</f>
        <v>38.800000000000004</v>
      </c>
      <c r="E62" s="30">
        <v>21.1</v>
      </c>
      <c r="F62" s="30">
        <f>150-59.2+0.2+150</f>
        <v>241</v>
      </c>
      <c r="G62" s="25"/>
      <c r="H62" s="25"/>
      <c r="I62" s="25"/>
      <c r="J62" s="25"/>
      <c r="K62" s="99">
        <f t="shared" si="0"/>
        <v>300.9</v>
      </c>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row>
    <row r="63" spans="1:59" ht="38.25">
      <c r="A63" s="77" t="s">
        <v>267</v>
      </c>
      <c r="B63" s="20" t="s">
        <v>268</v>
      </c>
      <c r="C63" s="30">
        <f t="shared" si="4"/>
        <v>40</v>
      </c>
      <c r="D63" s="30"/>
      <c r="E63" s="30"/>
      <c r="F63" s="30">
        <v>40</v>
      </c>
      <c r="G63" s="25"/>
      <c r="H63" s="25"/>
      <c r="I63" s="25"/>
      <c r="J63" s="25"/>
      <c r="K63" s="99">
        <f t="shared" si="0"/>
        <v>40</v>
      </c>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row>
    <row r="64" spans="1:59" ht="12.75">
      <c r="A64" s="77" t="s">
        <v>269</v>
      </c>
      <c r="B64" s="20" t="s">
        <v>270</v>
      </c>
      <c r="C64" s="30">
        <f t="shared" si="4"/>
        <v>26.700000000000003</v>
      </c>
      <c r="D64" s="30">
        <f>16.6+0.9</f>
        <v>17.5</v>
      </c>
      <c r="E64" s="30"/>
      <c r="F64" s="30">
        <f>8.9+0.3</f>
        <v>9.200000000000001</v>
      </c>
      <c r="G64" s="25"/>
      <c r="H64" s="25"/>
      <c r="I64" s="25"/>
      <c r="J64" s="25"/>
      <c r="K64" s="99">
        <f t="shared" si="0"/>
        <v>26.700000000000003</v>
      </c>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row>
    <row r="65" spans="1:59" ht="25.5">
      <c r="A65" s="77" t="s">
        <v>251</v>
      </c>
      <c r="B65" s="40" t="s">
        <v>252</v>
      </c>
      <c r="C65" s="30">
        <f t="shared" si="4"/>
        <v>40</v>
      </c>
      <c r="D65" s="25"/>
      <c r="E65" s="25"/>
      <c r="F65" s="25">
        <v>40</v>
      </c>
      <c r="G65" s="25"/>
      <c r="H65" s="25"/>
      <c r="I65" s="25"/>
      <c r="J65" s="25"/>
      <c r="K65" s="99">
        <f t="shared" si="0"/>
        <v>40</v>
      </c>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row>
    <row r="66" spans="1:59" s="21" customFormat="1" ht="29.25" customHeight="1">
      <c r="A66" s="79"/>
      <c r="B66" s="58" t="s">
        <v>88</v>
      </c>
      <c r="C66" s="48">
        <f>D66+E66+F66+G66</f>
        <v>35830.3</v>
      </c>
      <c r="D66" s="27"/>
      <c r="E66" s="27"/>
      <c r="F66" s="27">
        <f>10000+14200+5100+1194-1600-1194</f>
        <v>27700</v>
      </c>
      <c r="G66" s="27">
        <f>8537.5-765.3+358.1</f>
        <v>8130.3</v>
      </c>
      <c r="H66" s="27"/>
      <c r="I66" s="27"/>
      <c r="J66" s="27"/>
      <c r="K66" s="100">
        <f t="shared" si="0"/>
        <v>35830.3</v>
      </c>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row>
    <row r="67" spans="1:59" s="21" customFormat="1" ht="40.5" customHeight="1">
      <c r="A67" s="77" t="s">
        <v>399</v>
      </c>
      <c r="B67" s="20" t="s">
        <v>398</v>
      </c>
      <c r="C67" s="30">
        <f>F67</f>
        <v>3500</v>
      </c>
      <c r="D67" s="25"/>
      <c r="E67" s="25"/>
      <c r="F67" s="25">
        <f>5100-1600</f>
        <v>3500</v>
      </c>
      <c r="G67" s="27"/>
      <c r="H67" s="27"/>
      <c r="I67" s="27"/>
      <c r="J67" s="27"/>
      <c r="K67" s="100">
        <f t="shared" si="0"/>
        <v>3500</v>
      </c>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row>
    <row r="68" spans="1:12" ht="24.75" customHeight="1">
      <c r="A68" s="77"/>
      <c r="B68" s="58" t="s">
        <v>333</v>
      </c>
      <c r="C68" s="48">
        <f>C71+C72+C74+C75+C76+C69+C70</f>
        <v>43859.59999999999</v>
      </c>
      <c r="D68" s="48">
        <f aca="true" t="shared" si="7" ref="D68:I68">D71+D72+D74+D75+D76+D69+D70</f>
        <v>7152.3</v>
      </c>
      <c r="E68" s="48">
        <f t="shared" si="7"/>
        <v>1035.1</v>
      </c>
      <c r="F68" s="48">
        <f>F71+F72+F74+F75+F76+F69+F70</f>
        <v>33116.2</v>
      </c>
      <c r="G68" s="48">
        <f t="shared" si="7"/>
        <v>2556</v>
      </c>
      <c r="H68" s="48">
        <f t="shared" si="7"/>
        <v>731.6</v>
      </c>
      <c r="I68" s="48">
        <f t="shared" si="7"/>
        <v>0</v>
      </c>
      <c r="J68" s="27"/>
      <c r="K68" s="100">
        <f t="shared" si="0"/>
        <v>44591.19999999999</v>
      </c>
      <c r="L68" s="41"/>
    </row>
    <row r="69" spans="1:59" ht="12.75">
      <c r="A69" s="77" t="s">
        <v>246</v>
      </c>
      <c r="B69" s="20" t="s">
        <v>248</v>
      </c>
      <c r="C69" s="30">
        <f>D69+E69+F69+G69</f>
        <v>21140.3</v>
      </c>
      <c r="D69" s="30"/>
      <c r="E69" s="30"/>
      <c r="F69" s="30">
        <f>14416.9+3724+468.3+31.1</f>
        <v>18640.3</v>
      </c>
      <c r="G69" s="30">
        <f>2000+500</f>
        <v>2500</v>
      </c>
      <c r="H69" s="30"/>
      <c r="I69" s="30"/>
      <c r="J69" s="25"/>
      <c r="K69" s="99">
        <f t="shared" si="0"/>
        <v>21140.3</v>
      </c>
      <c r="L69" s="74"/>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row>
    <row r="70" spans="1:59" ht="24.75" customHeight="1">
      <c r="A70" s="77" t="s">
        <v>247</v>
      </c>
      <c r="B70" s="20" t="s">
        <v>249</v>
      </c>
      <c r="C70" s="30">
        <f>D70+E70+F70+G70</f>
        <v>6874.2</v>
      </c>
      <c r="D70" s="30"/>
      <c r="E70" s="30"/>
      <c r="F70" s="30">
        <f>6736+98+65.3-81.1</f>
        <v>6818.2</v>
      </c>
      <c r="G70" s="30">
        <v>56</v>
      </c>
      <c r="H70" s="30"/>
      <c r="I70" s="30"/>
      <c r="J70" s="25"/>
      <c r="K70" s="99">
        <f t="shared" si="0"/>
        <v>6874.2</v>
      </c>
      <c r="L70" s="74"/>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row>
    <row r="71" spans="1:59" ht="38.25">
      <c r="A71" s="77" t="s">
        <v>89</v>
      </c>
      <c r="B71" s="40" t="s">
        <v>232</v>
      </c>
      <c r="C71" s="30">
        <f aca="true" t="shared" si="8" ref="C71:C76">D71+E71+F71</f>
        <v>5888.4</v>
      </c>
      <c r="D71" s="25">
        <f>1606.4+39.8</f>
        <v>1646.2</v>
      </c>
      <c r="E71" s="25">
        <v>406.4</v>
      </c>
      <c r="F71" s="25">
        <f>3196.7+500+124.3+14.8</f>
        <v>3835.8</v>
      </c>
      <c r="G71" s="25"/>
      <c r="H71" s="25">
        <v>465</v>
      </c>
      <c r="I71" s="25"/>
      <c r="J71" s="25"/>
      <c r="K71" s="99">
        <f t="shared" si="0"/>
        <v>6353.4</v>
      </c>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row>
    <row r="72" spans="1:59" ht="54.75" customHeight="1">
      <c r="A72" s="81" t="s">
        <v>30</v>
      </c>
      <c r="B72" s="90" t="s">
        <v>226</v>
      </c>
      <c r="C72" s="30">
        <f t="shared" si="8"/>
        <v>9331.9</v>
      </c>
      <c r="D72" s="25">
        <f>5149.5+356.6</f>
        <v>5506.1</v>
      </c>
      <c r="E72" s="25">
        <v>628.7</v>
      </c>
      <c r="F72" s="25">
        <f>2785.9+411.2</f>
        <v>3197.1</v>
      </c>
      <c r="G72" s="25"/>
      <c r="H72" s="25">
        <v>266.6</v>
      </c>
      <c r="I72" s="25"/>
      <c r="J72" s="25"/>
      <c r="K72" s="99">
        <f t="shared" si="0"/>
        <v>9598.5</v>
      </c>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row>
    <row r="73" spans="1:59" ht="25.5">
      <c r="A73" s="81"/>
      <c r="B73" s="90" t="s">
        <v>227</v>
      </c>
      <c r="C73" s="30">
        <f t="shared" si="8"/>
        <v>12.2</v>
      </c>
      <c r="D73" s="25"/>
      <c r="E73" s="25"/>
      <c r="F73" s="25">
        <v>12.2</v>
      </c>
      <c r="G73" s="25"/>
      <c r="H73" s="25"/>
      <c r="I73" s="25"/>
      <c r="J73" s="25"/>
      <c r="K73" s="99">
        <f t="shared" si="0"/>
        <v>12.2</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row>
    <row r="74" spans="1:59" ht="25.5">
      <c r="A74" s="77">
        <v>110300</v>
      </c>
      <c r="B74" s="40" t="s">
        <v>90</v>
      </c>
      <c r="C74" s="30">
        <f t="shared" si="8"/>
        <v>304.3</v>
      </c>
      <c r="D74" s="25"/>
      <c r="E74" s="25"/>
      <c r="F74" s="25">
        <f>200+49+5.3+50</f>
        <v>304.3</v>
      </c>
      <c r="G74" s="25"/>
      <c r="H74" s="25"/>
      <c r="I74" s="25"/>
      <c r="J74" s="25"/>
      <c r="K74" s="99">
        <f t="shared" si="0"/>
        <v>304.3</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row>
    <row r="75" spans="1:59" ht="25.5">
      <c r="A75" s="77">
        <v>120300</v>
      </c>
      <c r="B75" s="40" t="s">
        <v>91</v>
      </c>
      <c r="C75" s="30">
        <f t="shared" si="8"/>
        <v>65.9</v>
      </c>
      <c r="D75" s="25"/>
      <c r="E75" s="25"/>
      <c r="F75" s="25">
        <v>65.9</v>
      </c>
      <c r="G75" s="25"/>
      <c r="H75" s="25"/>
      <c r="I75" s="25"/>
      <c r="J75" s="25"/>
      <c r="K75" s="99">
        <f t="shared" si="0"/>
        <v>65.9</v>
      </c>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row>
    <row r="76" spans="1:59" ht="27" customHeight="1">
      <c r="A76" s="77">
        <v>120300</v>
      </c>
      <c r="B76" s="40" t="s">
        <v>92</v>
      </c>
      <c r="C76" s="30">
        <f t="shared" si="8"/>
        <v>254.6</v>
      </c>
      <c r="D76" s="25"/>
      <c r="E76" s="25"/>
      <c r="F76" s="25">
        <v>254.6</v>
      </c>
      <c r="G76" s="25"/>
      <c r="H76" s="25"/>
      <c r="I76" s="25"/>
      <c r="J76" s="25"/>
      <c r="K76" s="99">
        <f>C76+H76</f>
        <v>254.6</v>
      </c>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row>
    <row r="77" spans="1:59" s="21" customFormat="1" ht="25.5">
      <c r="A77" s="79"/>
      <c r="B77" s="58" t="s">
        <v>93</v>
      </c>
      <c r="C77" s="48">
        <f>C78+C79+C81+C80</f>
        <v>5529.8</v>
      </c>
      <c r="D77" s="48">
        <f>D78+D79+D81++D80</f>
        <v>0</v>
      </c>
      <c r="E77" s="48">
        <f>E78+E79+E81++E80</f>
        <v>0</v>
      </c>
      <c r="F77" s="48">
        <f>F78+F79+F81++F80</f>
        <v>4377.8</v>
      </c>
      <c r="G77" s="27">
        <f>G79</f>
        <v>1152</v>
      </c>
      <c r="H77" s="27"/>
      <c r="I77" s="27"/>
      <c r="J77" s="27"/>
      <c r="K77" s="100">
        <f t="shared" si="0"/>
        <v>5529.8</v>
      </c>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row>
    <row r="78" spans="1:59" ht="25.5">
      <c r="A78" s="81">
        <v>180109</v>
      </c>
      <c r="B78" s="20" t="s">
        <v>59</v>
      </c>
      <c r="C78" s="30">
        <f>D78+E78+F78</f>
        <v>400</v>
      </c>
      <c r="D78" s="91"/>
      <c r="E78" s="91"/>
      <c r="F78" s="92">
        <v>400</v>
      </c>
      <c r="G78" s="25"/>
      <c r="H78" s="25"/>
      <c r="I78" s="25"/>
      <c r="J78" s="25"/>
      <c r="K78" s="99">
        <f t="shared" si="0"/>
        <v>400</v>
      </c>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row>
    <row r="79" spans="1:59" ht="27" customHeight="1">
      <c r="A79" s="77" t="s">
        <v>215</v>
      </c>
      <c r="B79" s="90" t="s">
        <v>52</v>
      </c>
      <c r="C79" s="30">
        <f>D79+E79+F79+G79</f>
        <v>4329</v>
      </c>
      <c r="D79" s="25"/>
      <c r="E79" s="25"/>
      <c r="F79" s="25">
        <f>4200-623-400</f>
        <v>3177</v>
      </c>
      <c r="G79" s="25">
        <f>1201-49</f>
        <v>1152</v>
      </c>
      <c r="H79" s="25"/>
      <c r="I79" s="25"/>
      <c r="J79" s="25"/>
      <c r="K79" s="99">
        <f t="shared" si="0"/>
        <v>4329</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row>
    <row r="80" spans="1:59" ht="13.5" customHeight="1">
      <c r="A80" s="81">
        <v>120300</v>
      </c>
      <c r="B80" s="20" t="s">
        <v>53</v>
      </c>
      <c r="C80" s="30">
        <f>D80+E80+F80</f>
        <v>623</v>
      </c>
      <c r="D80" s="25"/>
      <c r="E80" s="25"/>
      <c r="F80" s="25">
        <v>623</v>
      </c>
      <c r="G80" s="25"/>
      <c r="H80" s="25"/>
      <c r="I80" s="25"/>
      <c r="J80" s="25"/>
      <c r="K80" s="99">
        <f t="shared" si="0"/>
        <v>623</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row>
    <row r="81" spans="1:59" ht="25.5">
      <c r="A81" s="77">
        <v>120300</v>
      </c>
      <c r="B81" s="40" t="s">
        <v>94</v>
      </c>
      <c r="C81" s="30">
        <f>D81+E81+F81</f>
        <v>177.8</v>
      </c>
      <c r="D81" s="25"/>
      <c r="E81" s="25"/>
      <c r="F81" s="25">
        <v>177.8</v>
      </c>
      <c r="G81" s="25"/>
      <c r="H81" s="25"/>
      <c r="I81" s="25"/>
      <c r="J81" s="25"/>
      <c r="K81" s="99">
        <f t="shared" si="0"/>
        <v>177.8</v>
      </c>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row>
    <row r="82" spans="1:59" s="21" customFormat="1" ht="25.5">
      <c r="A82" s="69"/>
      <c r="B82" s="58" t="s">
        <v>95</v>
      </c>
      <c r="C82" s="48">
        <f aca="true" t="shared" si="9" ref="C82:H82">C83+C84+C85</f>
        <v>20911.7</v>
      </c>
      <c r="D82" s="48">
        <f t="shared" si="9"/>
        <v>2532.8</v>
      </c>
      <c r="E82" s="48">
        <f t="shared" si="9"/>
        <v>166.5</v>
      </c>
      <c r="F82" s="48">
        <f>F83+F84+F85</f>
        <v>18173.399999999998</v>
      </c>
      <c r="G82" s="48">
        <f t="shared" si="9"/>
        <v>39</v>
      </c>
      <c r="H82" s="48">
        <f t="shared" si="9"/>
        <v>3</v>
      </c>
      <c r="I82" s="27"/>
      <c r="J82" s="27"/>
      <c r="K82" s="100">
        <f>C82+H82</f>
        <v>20914.7</v>
      </c>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row>
    <row r="83" spans="1:59" ht="63.75">
      <c r="A83" s="77">
        <v>130000</v>
      </c>
      <c r="B83" s="40" t="s">
        <v>298</v>
      </c>
      <c r="C83" s="30">
        <f>D83+E83+F83+G83</f>
        <v>16813.6</v>
      </c>
      <c r="D83" s="25">
        <f>1414.6</f>
        <v>1414.6</v>
      </c>
      <c r="E83" s="25">
        <v>20.7</v>
      </c>
      <c r="F83" s="25">
        <f>14155.5+1000+233.8-50</f>
        <v>15339.3</v>
      </c>
      <c r="G83" s="25">
        <v>39</v>
      </c>
      <c r="H83" s="25"/>
      <c r="I83" s="25"/>
      <c r="J83" s="25"/>
      <c r="K83" s="99">
        <f>C83+H83</f>
        <v>16813.6</v>
      </c>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row>
    <row r="84" spans="1:59" ht="25.5">
      <c r="A84" s="77" t="s">
        <v>204</v>
      </c>
      <c r="B84" s="90" t="s">
        <v>231</v>
      </c>
      <c r="C84" s="30">
        <f>D84+E84+F84</f>
        <v>3716.9</v>
      </c>
      <c r="D84" s="25">
        <f>884.1+54.8</f>
        <v>938.9</v>
      </c>
      <c r="E84" s="25">
        <v>129</v>
      </c>
      <c r="F84" s="25">
        <f>2537.1+61.9+50</f>
        <v>2649</v>
      </c>
      <c r="G84" s="25"/>
      <c r="H84" s="25"/>
      <c r="I84" s="25"/>
      <c r="J84" s="25"/>
      <c r="K84" s="99">
        <f t="shared" si="0"/>
        <v>3716.9</v>
      </c>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row>
    <row r="85" spans="1:59" ht="28.5" customHeight="1">
      <c r="A85" s="77" t="s">
        <v>216</v>
      </c>
      <c r="B85" s="146" t="s">
        <v>308</v>
      </c>
      <c r="C85" s="30">
        <f>D85+E85+F85</f>
        <v>381.20000000000005</v>
      </c>
      <c r="D85" s="25">
        <f>169+10.3</f>
        <v>179.3</v>
      </c>
      <c r="E85" s="25">
        <v>16.8</v>
      </c>
      <c r="F85" s="25">
        <f>181.3+3.8</f>
        <v>185.10000000000002</v>
      </c>
      <c r="G85" s="25"/>
      <c r="H85" s="25">
        <v>3</v>
      </c>
      <c r="I85" s="25"/>
      <c r="J85" s="25"/>
      <c r="K85" s="99">
        <f t="shared" si="0"/>
        <v>384.20000000000005</v>
      </c>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row>
    <row r="86" spans="1:59" ht="25.5">
      <c r="A86" s="77"/>
      <c r="B86" s="156" t="s">
        <v>317</v>
      </c>
      <c r="C86" s="48">
        <f>C87+C88+C89</f>
        <v>1194</v>
      </c>
      <c r="D86" s="25"/>
      <c r="E86" s="25"/>
      <c r="F86" s="27">
        <f>F87</f>
        <v>1194</v>
      </c>
      <c r="G86" s="25"/>
      <c r="H86" s="27">
        <f>H87+H88+H89+H90+H91</f>
        <v>38487.299999999996</v>
      </c>
      <c r="I86" s="27">
        <f>I87+I88+I89+I90+I91</f>
        <v>38487.299999999996</v>
      </c>
      <c r="J86" s="27">
        <f>J87+J88</f>
        <v>406.5</v>
      </c>
      <c r="K86" s="100">
        <f>C86+H86</f>
        <v>39681.299999999996</v>
      </c>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row>
    <row r="87" spans="1:59" ht="12.75">
      <c r="A87" s="77" t="s">
        <v>217</v>
      </c>
      <c r="B87" s="20" t="s">
        <v>56</v>
      </c>
      <c r="C87" s="30">
        <f>D87+E87+F87</f>
        <v>1194</v>
      </c>
      <c r="D87" s="25"/>
      <c r="E87" s="25"/>
      <c r="F87" s="25">
        <f>610+584</f>
        <v>1194</v>
      </c>
      <c r="G87" s="25"/>
      <c r="H87" s="25">
        <f>I87</f>
        <v>17150.5</v>
      </c>
      <c r="I87" s="25">
        <f>J87+10096.5-406.5+600+1500+4654+300</f>
        <v>17150.5</v>
      </c>
      <c r="J87" s="25">
        <v>406.5</v>
      </c>
      <c r="K87" s="99">
        <f>H87</f>
        <v>17150.5</v>
      </c>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row>
    <row r="88" spans="1:59" ht="217.5" customHeight="1">
      <c r="A88" s="77" t="s">
        <v>295</v>
      </c>
      <c r="B88" s="146" t="s">
        <v>302</v>
      </c>
      <c r="C88" s="30"/>
      <c r="D88" s="25"/>
      <c r="E88" s="25"/>
      <c r="F88" s="25"/>
      <c r="G88" s="25"/>
      <c r="H88" s="25">
        <f>I88</f>
        <v>6692.7</v>
      </c>
      <c r="I88" s="25">
        <v>6692.7</v>
      </c>
      <c r="J88" s="25"/>
      <c r="K88" s="99">
        <f>H88+C88</f>
        <v>6692.7</v>
      </c>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row>
    <row r="89" spans="1:59" ht="38.25">
      <c r="A89" s="77" t="s">
        <v>280</v>
      </c>
      <c r="B89" s="146" t="s">
        <v>279</v>
      </c>
      <c r="C89" s="30">
        <v>0</v>
      </c>
      <c r="D89" s="25"/>
      <c r="E89" s="25"/>
      <c r="F89" s="25"/>
      <c r="G89" s="25"/>
      <c r="H89" s="25">
        <f>I89</f>
        <v>2840</v>
      </c>
      <c r="I89" s="25">
        <v>2840</v>
      </c>
      <c r="J89" s="25"/>
      <c r="K89" s="99">
        <f>H89+C89</f>
        <v>2840</v>
      </c>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row>
    <row r="90" spans="1:59" ht="12.75">
      <c r="A90" s="77" t="s">
        <v>281</v>
      </c>
      <c r="B90" s="146" t="s">
        <v>282</v>
      </c>
      <c r="C90" s="30">
        <v>0</v>
      </c>
      <c r="D90" s="25"/>
      <c r="E90" s="25"/>
      <c r="F90" s="25"/>
      <c r="G90" s="25"/>
      <c r="H90" s="25">
        <f>I90</f>
        <v>11000</v>
      </c>
      <c r="I90" s="25">
        <v>11000</v>
      </c>
      <c r="J90" s="25"/>
      <c r="K90" s="99">
        <f>H90+C90</f>
        <v>11000</v>
      </c>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row>
    <row r="91" spans="1:59" ht="12.75">
      <c r="A91" s="81" t="s">
        <v>326</v>
      </c>
      <c r="B91" s="20" t="s">
        <v>327</v>
      </c>
      <c r="C91" s="30">
        <v>0</v>
      </c>
      <c r="D91" s="25"/>
      <c r="E91" s="25"/>
      <c r="F91" s="25"/>
      <c r="G91" s="25"/>
      <c r="H91" s="25">
        <f>I91</f>
        <v>804.1</v>
      </c>
      <c r="I91" s="25">
        <f>750+54.1</f>
        <v>804.1</v>
      </c>
      <c r="J91" s="25"/>
      <c r="K91" s="99">
        <f>H91+C91</f>
        <v>804.1</v>
      </c>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row>
    <row r="92" spans="1:59" ht="25.5">
      <c r="A92" s="77"/>
      <c r="B92" s="156" t="s">
        <v>318</v>
      </c>
      <c r="C92" s="30"/>
      <c r="D92" s="25"/>
      <c r="E92" s="25"/>
      <c r="F92" s="25"/>
      <c r="G92" s="25"/>
      <c r="H92" s="27">
        <f>H93</f>
        <v>100</v>
      </c>
      <c r="I92" s="27">
        <f>I93</f>
        <v>100</v>
      </c>
      <c r="J92" s="27"/>
      <c r="K92" s="100">
        <f>K93</f>
        <v>100</v>
      </c>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row>
    <row r="93" spans="1:59" ht="12.75">
      <c r="A93" s="77" t="s">
        <v>217</v>
      </c>
      <c r="B93" s="20" t="s">
        <v>56</v>
      </c>
      <c r="C93" s="30">
        <f>D93+E93+F93</f>
        <v>0</v>
      </c>
      <c r="D93" s="25"/>
      <c r="E93" s="25"/>
      <c r="F93" s="25"/>
      <c r="G93" s="25"/>
      <c r="H93" s="25">
        <v>100</v>
      </c>
      <c r="I93" s="25">
        <f>H93</f>
        <v>100</v>
      </c>
      <c r="J93" s="25"/>
      <c r="K93" s="99">
        <f>C93+H93</f>
        <v>100</v>
      </c>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row>
    <row r="94" spans="1:59" s="21" customFormat="1" ht="51">
      <c r="A94" s="79"/>
      <c r="B94" s="59" t="s">
        <v>202</v>
      </c>
      <c r="C94" s="48">
        <f>C95</f>
        <v>4204</v>
      </c>
      <c r="D94" s="48">
        <f>D95</f>
        <v>0</v>
      </c>
      <c r="E94" s="48">
        <f>E95</f>
        <v>0</v>
      </c>
      <c r="F94" s="48">
        <f>F95</f>
        <v>3085.6</v>
      </c>
      <c r="G94" s="27">
        <f>G95</f>
        <v>1118.3999999999999</v>
      </c>
      <c r="H94" s="27"/>
      <c r="I94" s="27"/>
      <c r="J94" s="27"/>
      <c r="K94" s="100">
        <f t="shared" si="0"/>
        <v>4204</v>
      </c>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row>
    <row r="95" spans="1:59" ht="38.25">
      <c r="A95" s="77">
        <v>210000</v>
      </c>
      <c r="B95" s="22" t="s">
        <v>209</v>
      </c>
      <c r="C95" s="30">
        <f>D95+E95+F95+G95</f>
        <v>4204</v>
      </c>
      <c r="D95" s="25"/>
      <c r="E95" s="25"/>
      <c r="F95" s="25">
        <f>1800+198.6+150+820+117</f>
        <v>3085.6</v>
      </c>
      <c r="G95" s="25">
        <f>1110.3+8.1</f>
        <v>1118.3999999999999</v>
      </c>
      <c r="H95" s="25"/>
      <c r="I95" s="25"/>
      <c r="J95" s="25"/>
      <c r="K95" s="99">
        <f t="shared" si="0"/>
        <v>4204</v>
      </c>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row>
    <row r="96" spans="1:59" s="21" customFormat="1" ht="12.75">
      <c r="A96" s="79"/>
      <c r="B96" s="59" t="s">
        <v>96</v>
      </c>
      <c r="C96" s="48">
        <f>C97</f>
        <v>200</v>
      </c>
      <c r="D96" s="48">
        <f>D97</f>
        <v>0</v>
      </c>
      <c r="E96" s="48">
        <f>E97</f>
        <v>0</v>
      </c>
      <c r="F96" s="48">
        <v>200</v>
      </c>
      <c r="G96" s="27"/>
      <c r="H96" s="27"/>
      <c r="I96" s="27"/>
      <c r="J96" s="27"/>
      <c r="K96" s="100">
        <f t="shared" si="0"/>
        <v>200</v>
      </c>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row>
    <row r="97" spans="1:59" s="21" customFormat="1" ht="25.5">
      <c r="A97" s="81">
        <v>180404</v>
      </c>
      <c r="B97" s="24" t="s">
        <v>60</v>
      </c>
      <c r="C97" s="30">
        <f>D97+E97+F97</f>
        <v>200</v>
      </c>
      <c r="D97" s="25"/>
      <c r="E97" s="25"/>
      <c r="F97" s="25">
        <v>200</v>
      </c>
      <c r="G97" s="25"/>
      <c r="H97" s="25"/>
      <c r="I97" s="25"/>
      <c r="J97" s="25"/>
      <c r="K97" s="99">
        <f t="shared" si="0"/>
        <v>200</v>
      </c>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row>
    <row r="98" spans="1:59" s="21" customFormat="1" ht="25.5">
      <c r="A98" s="81"/>
      <c r="B98" s="56" t="s">
        <v>203</v>
      </c>
      <c r="C98" s="48">
        <f>C99</f>
        <v>390</v>
      </c>
      <c r="D98" s="48">
        <f>D99</f>
        <v>0</v>
      </c>
      <c r="E98" s="48">
        <f>E99</f>
        <v>0</v>
      </c>
      <c r="F98" s="48">
        <f>F99</f>
        <v>390</v>
      </c>
      <c r="G98" s="25"/>
      <c r="H98" s="25"/>
      <c r="I98" s="25"/>
      <c r="J98" s="25"/>
      <c r="K98" s="100">
        <f t="shared" si="0"/>
        <v>390</v>
      </c>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row>
    <row r="99" spans="1:59" s="21" customFormat="1" ht="25.5">
      <c r="A99" s="77">
        <v>180109</v>
      </c>
      <c r="B99" s="24" t="s">
        <v>59</v>
      </c>
      <c r="C99" s="30">
        <f>D99+E99+F99</f>
        <v>390</v>
      </c>
      <c r="D99" s="25"/>
      <c r="E99" s="25"/>
      <c r="F99" s="25">
        <v>390</v>
      </c>
      <c r="G99" s="25"/>
      <c r="H99" s="25"/>
      <c r="I99" s="25"/>
      <c r="J99" s="25"/>
      <c r="K99" s="99">
        <f t="shared" si="0"/>
        <v>390</v>
      </c>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row>
    <row r="100" spans="1:59" s="21" customFormat="1" ht="12.75">
      <c r="A100" s="79"/>
      <c r="B100" s="58" t="s">
        <v>97</v>
      </c>
      <c r="C100" s="48">
        <f>C101+C102+C103+C104+C105+C107+C108+C109+C110+C111+C112+C113+C114+C116+C117+C118+C119+C121+C120+C123+C115+C122+C124+C106+C125+C126</f>
        <v>654590</v>
      </c>
      <c r="D100" s="48">
        <f>D101+D102+D103+D104+D105+D107+D108+D109+D110+D111+D112+D113+D114+D116+D117+D118+D119+D121+D120</f>
        <v>0</v>
      </c>
      <c r="E100" s="48">
        <f>E101+E102+E103+E104+E105+E107+E108+E109+E110+E111+E112+E113+E114+E116+E117+E118+E119+E121+E120</f>
        <v>0</v>
      </c>
      <c r="F100" s="48">
        <f>F101+F102+F103+F104+F105+F107+F108+F109+F110+F111+F112+F113+F114+F116+F117+F118+F119+F121+F120+F123+F115+F122+F124+F106+F125+F126</f>
        <v>654590</v>
      </c>
      <c r="G100" s="48">
        <f>G101+G102+G103+G104+G105+G107+G108+G109+G110+G111+G112+G113+G114+G116+G117+G118+G119+G121+G120</f>
        <v>0</v>
      </c>
      <c r="H100" s="48">
        <f>H101+H102+H103+H104+H105+H107+H108+H109+H110+H111+H112+H113+H114+H116+H117+H118+H119+H121+H120</f>
        <v>78113.2</v>
      </c>
      <c r="I100" s="48">
        <f>I101+I102+I103+I104+I105+I107+I108+I109+I110+I111+I112+I113+I114+I116+I117+I118+I119+I121+I120</f>
        <v>1010</v>
      </c>
      <c r="J100" s="48"/>
      <c r="K100" s="100">
        <f>C100+H100</f>
        <v>732703.2</v>
      </c>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row>
    <row r="101" spans="1:59" ht="12.75">
      <c r="A101" s="77" t="s">
        <v>217</v>
      </c>
      <c r="B101" s="20" t="s">
        <v>56</v>
      </c>
      <c r="C101" s="30">
        <f aca="true" t="shared" si="10" ref="C101:C126">D101+E101+F101</f>
        <v>0</v>
      </c>
      <c r="D101" s="25"/>
      <c r="E101" s="25"/>
      <c r="F101" s="25"/>
      <c r="G101" s="25"/>
      <c r="H101" s="25">
        <f>12000+900+1000-2000-500-9120-670-600</f>
        <v>1010</v>
      </c>
      <c r="I101" s="25">
        <f>H101</f>
        <v>1010</v>
      </c>
      <c r="J101" s="25"/>
      <c r="K101" s="99">
        <f t="shared" si="0"/>
        <v>1010</v>
      </c>
      <c r="L101" s="106"/>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row>
    <row r="102" spans="1:59" ht="14.25" customHeight="1" hidden="1">
      <c r="A102" s="77" t="s">
        <v>295</v>
      </c>
      <c r="B102" s="146" t="s">
        <v>302</v>
      </c>
      <c r="C102" s="30">
        <f t="shared" si="10"/>
        <v>0</v>
      </c>
      <c r="D102" s="25"/>
      <c r="E102" s="25"/>
      <c r="F102" s="25"/>
      <c r="G102" s="25"/>
      <c r="H102" s="25">
        <f>I102</f>
        <v>0</v>
      </c>
      <c r="I102" s="25"/>
      <c r="J102" s="25"/>
      <c r="K102" s="99">
        <f t="shared" si="0"/>
        <v>0</v>
      </c>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row>
    <row r="103" spans="1:59" ht="12" customHeight="1" hidden="1">
      <c r="A103" s="77" t="s">
        <v>280</v>
      </c>
      <c r="B103" s="152" t="s">
        <v>279</v>
      </c>
      <c r="C103" s="30">
        <f t="shared" si="10"/>
        <v>0</v>
      </c>
      <c r="D103" s="25"/>
      <c r="E103" s="25"/>
      <c r="F103" s="25"/>
      <c r="G103" s="25"/>
      <c r="H103" s="25">
        <f>I103</f>
        <v>0</v>
      </c>
      <c r="I103" s="25"/>
      <c r="J103" s="25"/>
      <c r="K103" s="99">
        <f t="shared" si="0"/>
        <v>0</v>
      </c>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row>
    <row r="104" spans="1:59" ht="12" customHeight="1" hidden="1">
      <c r="A104" s="77" t="s">
        <v>281</v>
      </c>
      <c r="B104" s="20" t="s">
        <v>282</v>
      </c>
      <c r="C104" s="30">
        <f t="shared" si="10"/>
        <v>0</v>
      </c>
      <c r="D104" s="25"/>
      <c r="E104" s="25"/>
      <c r="F104" s="25"/>
      <c r="G104" s="25"/>
      <c r="H104" s="25">
        <f>I104</f>
        <v>0</v>
      </c>
      <c r="I104" s="25"/>
      <c r="J104" s="25"/>
      <c r="K104" s="99">
        <f t="shared" si="0"/>
        <v>0</v>
      </c>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row>
    <row r="105" spans="1:59" ht="39.75" customHeight="1">
      <c r="A105" s="77">
        <v>170703</v>
      </c>
      <c r="B105" s="20" t="s">
        <v>58</v>
      </c>
      <c r="C105" s="30">
        <f t="shared" si="10"/>
        <v>0</v>
      </c>
      <c r="D105" s="25"/>
      <c r="E105" s="25"/>
      <c r="F105" s="25"/>
      <c r="G105" s="25"/>
      <c r="H105" s="25">
        <v>29400</v>
      </c>
      <c r="I105" s="25"/>
      <c r="J105" s="25"/>
      <c r="K105" s="99">
        <f t="shared" si="0"/>
        <v>29400</v>
      </c>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row>
    <row r="106" spans="1:59" ht="25.5">
      <c r="A106" s="77" t="s">
        <v>330</v>
      </c>
      <c r="B106" s="24" t="s">
        <v>59</v>
      </c>
      <c r="C106" s="30">
        <f>D106+E106+F106</f>
        <v>5407.2</v>
      </c>
      <c r="D106" s="25"/>
      <c r="E106" s="25"/>
      <c r="F106" s="25">
        <f>2703.7+2703.7-0.2</f>
        <v>5407.2</v>
      </c>
      <c r="G106" s="25"/>
      <c r="H106" s="25"/>
      <c r="I106" s="25"/>
      <c r="J106" s="25"/>
      <c r="K106" s="99">
        <f t="shared" si="0"/>
        <v>5407.2</v>
      </c>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row>
    <row r="107" spans="1:59" ht="27.75" customHeight="1">
      <c r="A107" s="77" t="s">
        <v>98</v>
      </c>
      <c r="B107" s="20" t="s">
        <v>99</v>
      </c>
      <c r="C107" s="30">
        <f t="shared" si="10"/>
        <v>0</v>
      </c>
      <c r="D107" s="25"/>
      <c r="E107" s="25"/>
      <c r="F107" s="25"/>
      <c r="G107" s="25"/>
      <c r="H107" s="25">
        <v>665.4</v>
      </c>
      <c r="I107" s="25"/>
      <c r="J107" s="25"/>
      <c r="K107" s="99">
        <f>C107+H107</f>
        <v>665.4</v>
      </c>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row>
    <row r="108" spans="1:59" ht="12.75">
      <c r="A108" s="81">
        <v>230000</v>
      </c>
      <c r="B108" s="24" t="s">
        <v>61</v>
      </c>
      <c r="C108" s="30">
        <f t="shared" si="10"/>
        <v>0.1</v>
      </c>
      <c r="D108" s="25"/>
      <c r="E108" s="25"/>
      <c r="F108" s="25">
        <v>0.1</v>
      </c>
      <c r="G108" s="25"/>
      <c r="H108" s="25"/>
      <c r="I108" s="25"/>
      <c r="J108" s="25"/>
      <c r="K108" s="99">
        <f t="shared" si="0"/>
        <v>0.1</v>
      </c>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row>
    <row r="109" spans="1:59" ht="67.5" customHeight="1">
      <c r="A109" s="77" t="s">
        <v>154</v>
      </c>
      <c r="B109" s="24" t="s">
        <v>63</v>
      </c>
      <c r="C109" s="30">
        <f t="shared" si="10"/>
        <v>0</v>
      </c>
      <c r="D109" s="25"/>
      <c r="E109" s="25"/>
      <c r="F109" s="25"/>
      <c r="G109" s="25"/>
      <c r="H109" s="25">
        <v>38000</v>
      </c>
      <c r="I109" s="25"/>
      <c r="J109" s="25"/>
      <c r="K109" s="99">
        <f aca="true" t="shared" si="11" ref="K109:K124">C109+H109</f>
        <v>38000</v>
      </c>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row>
    <row r="110" spans="1:59" ht="12.75">
      <c r="A110" s="77">
        <v>250102</v>
      </c>
      <c r="B110" s="40" t="s">
        <v>65</v>
      </c>
      <c r="C110" s="30">
        <f t="shared" si="10"/>
        <v>1831.4</v>
      </c>
      <c r="D110" s="25"/>
      <c r="E110" s="25"/>
      <c r="F110" s="25">
        <f>4000-500-500-198.6-150-820</f>
        <v>1831.4</v>
      </c>
      <c r="G110" s="25"/>
      <c r="H110" s="25"/>
      <c r="I110" s="25"/>
      <c r="J110" s="25"/>
      <c r="K110" s="99">
        <f t="shared" si="11"/>
        <v>1831.4</v>
      </c>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row>
    <row r="111" spans="1:59" ht="63.75">
      <c r="A111" s="81">
        <v>250301</v>
      </c>
      <c r="B111" s="52" t="s">
        <v>213</v>
      </c>
      <c r="C111" s="30">
        <f t="shared" si="10"/>
        <v>14715</v>
      </c>
      <c r="D111" s="25"/>
      <c r="E111" s="25"/>
      <c r="F111" s="25">
        <v>14715</v>
      </c>
      <c r="G111" s="25"/>
      <c r="H111" s="25"/>
      <c r="I111" s="25"/>
      <c r="J111" s="25"/>
      <c r="K111" s="99">
        <f t="shared" si="11"/>
        <v>14715</v>
      </c>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row>
    <row r="112" spans="1:59" ht="38.25">
      <c r="A112" s="81">
        <v>250306</v>
      </c>
      <c r="B112" s="24" t="s">
        <v>68</v>
      </c>
      <c r="C112" s="30">
        <f t="shared" si="10"/>
        <v>69315.7</v>
      </c>
      <c r="D112" s="25"/>
      <c r="E112" s="25"/>
      <c r="F112" s="25">
        <f>48032.7+12000+900+30+1650+119+1500+30+100+4654+300</f>
        <v>69315.7</v>
      </c>
      <c r="G112" s="25"/>
      <c r="H112" s="25"/>
      <c r="I112" s="25"/>
      <c r="J112" s="25"/>
      <c r="K112" s="99">
        <f t="shared" si="11"/>
        <v>69315.7</v>
      </c>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row>
    <row r="113" spans="1:59" ht="25.5">
      <c r="A113" s="81" t="s">
        <v>234</v>
      </c>
      <c r="B113" s="20" t="s">
        <v>271</v>
      </c>
      <c r="C113" s="30">
        <f t="shared" si="10"/>
        <v>228.3</v>
      </c>
      <c r="D113" s="25"/>
      <c r="E113" s="25"/>
      <c r="F113" s="25">
        <f>101.5+101.5+73.1-47.8</f>
        <v>228.3</v>
      </c>
      <c r="G113" s="25"/>
      <c r="H113" s="25"/>
      <c r="I113" s="25"/>
      <c r="J113" s="25"/>
      <c r="K113" s="99">
        <f t="shared" si="11"/>
        <v>228.3</v>
      </c>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row>
    <row r="114" spans="1:59" ht="102">
      <c r="A114" s="81">
        <v>250313</v>
      </c>
      <c r="B114" s="49" t="s">
        <v>211</v>
      </c>
      <c r="C114" s="30">
        <f t="shared" si="10"/>
        <v>21399.2</v>
      </c>
      <c r="D114" s="25"/>
      <c r="E114" s="25"/>
      <c r="F114" s="25">
        <f>21892.9-493.7</f>
        <v>21399.2</v>
      </c>
      <c r="G114" s="25"/>
      <c r="H114" s="25"/>
      <c r="I114" s="25"/>
      <c r="J114" s="25"/>
      <c r="K114" s="99">
        <f t="shared" si="11"/>
        <v>21399.2</v>
      </c>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row>
    <row r="115" spans="1:59" ht="38.25">
      <c r="A115" s="81" t="s">
        <v>325</v>
      </c>
      <c r="B115" s="49" t="s">
        <v>321</v>
      </c>
      <c r="C115" s="30">
        <f t="shared" si="10"/>
        <v>41966</v>
      </c>
      <c r="D115" s="25"/>
      <c r="E115" s="25"/>
      <c r="F115" s="30">
        <f>43616-1650</f>
        <v>41966</v>
      </c>
      <c r="G115" s="25"/>
      <c r="H115" s="25"/>
      <c r="I115" s="25"/>
      <c r="J115" s="25"/>
      <c r="K115" s="99">
        <f t="shared" si="11"/>
        <v>41966</v>
      </c>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row>
    <row r="116" spans="1:59" ht="63.75">
      <c r="A116" s="81" t="s">
        <v>243</v>
      </c>
      <c r="B116" s="49" t="s">
        <v>236</v>
      </c>
      <c r="C116" s="30">
        <f t="shared" si="10"/>
        <v>93935.5</v>
      </c>
      <c r="D116" s="25"/>
      <c r="E116" s="25"/>
      <c r="F116" s="25">
        <v>93935.5</v>
      </c>
      <c r="G116" s="25"/>
      <c r="H116" s="25"/>
      <c r="I116" s="25"/>
      <c r="J116" s="25"/>
      <c r="K116" s="99">
        <f t="shared" si="11"/>
        <v>93935.5</v>
      </c>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row>
    <row r="117" spans="1:13" s="21" customFormat="1" ht="229.5" customHeight="1">
      <c r="A117" s="81" t="s">
        <v>244</v>
      </c>
      <c r="B117" s="153" t="s">
        <v>299</v>
      </c>
      <c r="C117" s="30">
        <f t="shared" si="10"/>
        <v>195261</v>
      </c>
      <c r="D117" s="30"/>
      <c r="E117" s="30"/>
      <c r="F117" s="30">
        <f>173905.7+21355.3</f>
        <v>195261</v>
      </c>
      <c r="G117" s="30"/>
      <c r="H117" s="30"/>
      <c r="I117" s="30"/>
      <c r="J117" s="30"/>
      <c r="K117" s="99">
        <f t="shared" si="11"/>
        <v>195261</v>
      </c>
      <c r="L117" s="28"/>
      <c r="M117" s="29"/>
    </row>
    <row r="118" spans="1:13" s="21" customFormat="1" ht="267" customHeight="1">
      <c r="A118" s="81" t="s">
        <v>233</v>
      </c>
      <c r="B118" s="146" t="s">
        <v>300</v>
      </c>
      <c r="C118" s="30">
        <f t="shared" si="10"/>
        <v>65374</v>
      </c>
      <c r="D118" s="30"/>
      <c r="E118" s="30"/>
      <c r="F118" s="30">
        <f>60229.2+5144.8</f>
        <v>65374</v>
      </c>
      <c r="G118" s="30"/>
      <c r="H118" s="30"/>
      <c r="I118" s="30"/>
      <c r="J118" s="30"/>
      <c r="K118" s="99">
        <f t="shared" si="11"/>
        <v>65374</v>
      </c>
      <c r="L118" s="28"/>
      <c r="M118" s="29"/>
    </row>
    <row r="119" spans="1:13" s="21" customFormat="1" ht="177" customHeight="1">
      <c r="A119" s="81" t="s">
        <v>245</v>
      </c>
      <c r="B119" s="146" t="s">
        <v>240</v>
      </c>
      <c r="C119" s="30">
        <f t="shared" si="10"/>
        <v>21042.2</v>
      </c>
      <c r="D119" s="30"/>
      <c r="E119" s="30"/>
      <c r="F119" s="30">
        <v>21042.2</v>
      </c>
      <c r="G119" s="30"/>
      <c r="H119" s="30"/>
      <c r="I119" s="30"/>
      <c r="J119" s="30"/>
      <c r="K119" s="99">
        <f t="shared" si="11"/>
        <v>21042.2</v>
      </c>
      <c r="L119" s="28"/>
      <c r="M119" s="29"/>
    </row>
    <row r="120" spans="1:13" s="21" customFormat="1" ht="25.5">
      <c r="A120" s="81" t="s">
        <v>284</v>
      </c>
      <c r="B120" s="20" t="s">
        <v>285</v>
      </c>
      <c r="C120" s="30">
        <f t="shared" si="10"/>
        <v>8802.600000000006</v>
      </c>
      <c r="D120" s="30"/>
      <c r="E120" s="30"/>
      <c r="F120" s="30">
        <f>31006.3+72616.7-94820.4</f>
        <v>8802.600000000006</v>
      </c>
      <c r="G120" s="30"/>
      <c r="H120" s="30"/>
      <c r="I120" s="30"/>
      <c r="J120" s="30"/>
      <c r="K120" s="82">
        <f t="shared" si="11"/>
        <v>8802.600000000006</v>
      </c>
      <c r="L120" s="28"/>
      <c r="M120" s="29"/>
    </row>
    <row r="121" spans="1:12" s="21" customFormat="1" ht="55.5" customHeight="1">
      <c r="A121" s="81" t="s">
        <v>254</v>
      </c>
      <c r="B121" s="146" t="s">
        <v>242</v>
      </c>
      <c r="C121" s="30">
        <f t="shared" si="10"/>
        <v>0</v>
      </c>
      <c r="D121" s="30"/>
      <c r="E121" s="30"/>
      <c r="F121" s="30"/>
      <c r="G121" s="30"/>
      <c r="H121" s="30">
        <v>9037.8</v>
      </c>
      <c r="I121" s="30"/>
      <c r="J121" s="30"/>
      <c r="K121" s="99">
        <f t="shared" si="11"/>
        <v>9037.8</v>
      </c>
      <c r="L121" s="23"/>
    </row>
    <row r="122" spans="1:12" s="21" customFormat="1" ht="111.75" customHeight="1">
      <c r="A122" s="81" t="s">
        <v>324</v>
      </c>
      <c r="B122" s="146" t="s">
        <v>323</v>
      </c>
      <c r="C122" s="30">
        <f t="shared" si="10"/>
        <v>33441</v>
      </c>
      <c r="D122" s="30"/>
      <c r="E122" s="30"/>
      <c r="F122" s="30">
        <v>33441</v>
      </c>
      <c r="G122" s="30"/>
      <c r="H122" s="30"/>
      <c r="I122" s="30"/>
      <c r="J122" s="30"/>
      <c r="K122" s="99">
        <f t="shared" si="11"/>
        <v>33441</v>
      </c>
      <c r="L122" s="23"/>
    </row>
    <row r="123" spans="1:12" s="21" customFormat="1" ht="12.75">
      <c r="A123" s="81" t="s">
        <v>315</v>
      </c>
      <c r="B123" s="146" t="s">
        <v>316</v>
      </c>
      <c r="C123" s="30">
        <f t="shared" si="10"/>
        <v>1790</v>
      </c>
      <c r="D123" s="30"/>
      <c r="E123" s="30"/>
      <c r="F123" s="30">
        <f>200+1140+450</f>
        <v>1790</v>
      </c>
      <c r="G123" s="30"/>
      <c r="H123" s="30"/>
      <c r="I123" s="30"/>
      <c r="J123" s="30"/>
      <c r="K123" s="99">
        <f t="shared" si="11"/>
        <v>1790</v>
      </c>
      <c r="L123" s="23"/>
    </row>
    <row r="124" spans="1:12" s="21" customFormat="1" ht="121.5" customHeight="1">
      <c r="A124" s="83" t="s">
        <v>277</v>
      </c>
      <c r="B124" s="49" t="s">
        <v>341</v>
      </c>
      <c r="C124" s="30">
        <f t="shared" si="10"/>
        <v>47780.8</v>
      </c>
      <c r="D124" s="61"/>
      <c r="E124" s="61"/>
      <c r="F124" s="61">
        <v>47780.8</v>
      </c>
      <c r="G124" s="61"/>
      <c r="H124" s="61"/>
      <c r="I124" s="61"/>
      <c r="J124" s="61"/>
      <c r="K124" s="147">
        <f t="shared" si="11"/>
        <v>47780.8</v>
      </c>
      <c r="L124" s="23"/>
    </row>
    <row r="125" spans="1:12" s="21" customFormat="1" ht="38.25">
      <c r="A125" s="145" t="s">
        <v>401</v>
      </c>
      <c r="B125" s="146" t="s">
        <v>336</v>
      </c>
      <c r="C125" s="30">
        <f t="shared" si="10"/>
        <v>5800</v>
      </c>
      <c r="D125" s="30"/>
      <c r="E125" s="30"/>
      <c r="F125" s="30">
        <v>5800</v>
      </c>
      <c r="G125" s="30"/>
      <c r="H125" s="30"/>
      <c r="I125" s="30"/>
      <c r="J125" s="30"/>
      <c r="K125" s="25"/>
      <c r="L125" s="23"/>
    </row>
    <row r="126" spans="1:12" s="21" customFormat="1" ht="68.25" customHeight="1" thickBot="1">
      <c r="A126" s="145"/>
      <c r="B126" s="146" t="s">
        <v>339</v>
      </c>
      <c r="C126" s="30">
        <f t="shared" si="10"/>
        <v>26500</v>
      </c>
      <c r="D126" s="30"/>
      <c r="E126" s="30"/>
      <c r="F126" s="30">
        <f>24900+1600</f>
        <v>26500</v>
      </c>
      <c r="G126" s="30"/>
      <c r="H126" s="30"/>
      <c r="I126" s="30"/>
      <c r="J126" s="30"/>
      <c r="K126" s="25"/>
      <c r="L126" s="23"/>
    </row>
    <row r="127" spans="1:59" s="21" customFormat="1" ht="14.25" customHeight="1" thickBot="1">
      <c r="A127" s="369" t="s">
        <v>69</v>
      </c>
      <c r="B127" s="355"/>
      <c r="C127" s="101">
        <f>C15+C27+C32+C40+C53+C55+C66+C68+C77+C82+C94+C96+C100+C98+D92+C86</f>
        <v>1179236.5</v>
      </c>
      <c r="D127" s="101">
        <f>D15+D27+D32+D40+D53+D55+D66+D68+D77+D82+D94+D96+D100+D98+E92</f>
        <v>155881.2</v>
      </c>
      <c r="E127" s="101">
        <f>E15+E27+E32+E40+E53+E55+E66+E68+E77+E82+E94+E96+E100+E98+F92</f>
        <v>33641.8</v>
      </c>
      <c r="F127" s="101">
        <f>F15+F27+F32+F40+F53+F55+F66+F68+F77+F82+F94+F96+F100+F98+G92+F86</f>
        <v>961659.7</v>
      </c>
      <c r="G127" s="101">
        <f>G15+G27+G32+G40+G53+G55+G66+G68+G77+G82+G94+G96+G100+G92</f>
        <v>28053.800000000003</v>
      </c>
      <c r="H127" s="101">
        <f>H15+H27+H32+H40+H53+H55+H66+H68+H77+H82+H94+H96+H100+H86+H92</f>
        <v>167374.3</v>
      </c>
      <c r="I127" s="101">
        <f>I15+I27+I32+I40+I53+I55+I66+I77+I82+I94+I96+I100+I86+I92</f>
        <v>70622.2</v>
      </c>
      <c r="J127" s="101">
        <f>J86</f>
        <v>406.5</v>
      </c>
      <c r="K127" s="102">
        <f>K15+K27+K32+K40+K53+K55+K66+K68+K77+K82+K94+K96+K100+K98+K86+K92</f>
        <v>1346610.8</v>
      </c>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row>
    <row r="128" spans="1:59" s="8" customFormat="1" ht="12.75">
      <c r="A128" s="93"/>
      <c r="B128" s="94"/>
      <c r="C128" s="28">
        <f>'№2'!C88</f>
        <v>1179236.5</v>
      </c>
      <c r="D128" s="28">
        <f>D127-'№2'!D88</f>
        <v>0</v>
      </c>
      <c r="E128" s="28">
        <f>E127-'№2'!E88</f>
        <v>0</v>
      </c>
      <c r="F128" s="28">
        <f>F127-'№2'!F88</f>
        <v>0</v>
      </c>
      <c r="G128" s="28">
        <f>'№2'!G88</f>
        <v>28053.800000000003</v>
      </c>
      <c r="H128" s="28">
        <f>'№2'!H88</f>
        <v>167374.3</v>
      </c>
      <c r="I128" s="28">
        <f>I127-'№2'!I88</f>
        <v>0</v>
      </c>
      <c r="J128" s="28">
        <f>J127-'№2'!J88</f>
        <v>0</v>
      </c>
      <c r="K128" s="28">
        <f>'№2'!K88</f>
        <v>1346610.8</v>
      </c>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row>
    <row r="129" spans="3:11" ht="12.75">
      <c r="C129" s="32">
        <f>C128-C127</f>
        <v>0</v>
      </c>
      <c r="K129" s="32">
        <f>K128-K127</f>
        <v>0</v>
      </c>
    </row>
    <row r="130" spans="3:11" ht="12.75">
      <c r="C130" s="43"/>
      <c r="D130" s="43"/>
      <c r="E130" s="43"/>
      <c r="F130" s="43"/>
      <c r="G130" s="43"/>
      <c r="H130" s="43"/>
      <c r="I130" s="43"/>
      <c r="J130" s="43"/>
      <c r="K130" s="43"/>
    </row>
    <row r="131" spans="3:6" ht="15">
      <c r="C131" s="41"/>
      <c r="F131" s="142"/>
    </row>
    <row r="132" spans="3:11" ht="12.75">
      <c r="C132" s="43"/>
      <c r="D132" s="44" t="s">
        <v>71</v>
      </c>
      <c r="E132" s="44"/>
      <c r="F132" s="44"/>
      <c r="G132" s="44"/>
      <c r="H132" s="43"/>
      <c r="I132" s="44"/>
      <c r="K132" s="43"/>
    </row>
    <row r="133" spans="3:11" ht="12.75">
      <c r="C133" s="41"/>
      <c r="D133" s="32"/>
      <c r="E133" s="32"/>
      <c r="F133" s="32"/>
      <c r="G133" s="32"/>
      <c r="H133" s="32"/>
      <c r="I133" s="32"/>
      <c r="J133" s="32"/>
      <c r="K133" s="32"/>
    </row>
    <row r="134" spans="3:12" ht="12.75">
      <c r="C134" s="105"/>
      <c r="D134" s="105"/>
      <c r="E134" s="105"/>
      <c r="F134" s="105"/>
      <c r="G134" s="105"/>
      <c r="H134" s="105"/>
      <c r="I134" s="105"/>
      <c r="J134" s="105"/>
      <c r="K134" s="105"/>
      <c r="L134" s="106"/>
    </row>
    <row r="135" spans="3:12" ht="12.75">
      <c r="C135" s="106"/>
      <c r="D135" s="32"/>
      <c r="E135" s="32"/>
      <c r="F135" s="32"/>
      <c r="G135" s="32"/>
      <c r="H135" s="32"/>
      <c r="I135" s="32"/>
      <c r="J135" s="32"/>
      <c r="K135" s="32"/>
      <c r="L135" s="74"/>
    </row>
    <row r="136" ht="12.75">
      <c r="C136" s="35"/>
    </row>
    <row r="137" ht="12.75">
      <c r="C137" s="35"/>
    </row>
    <row r="138" spans="3:6" ht="12.75">
      <c r="C138" s="35"/>
      <c r="F138" s="33"/>
    </row>
    <row r="139" ht="12.75">
      <c r="C139" s="35"/>
    </row>
    <row r="140" ht="12.75">
      <c r="C140" s="35"/>
    </row>
    <row r="141" ht="12.75">
      <c r="C141" s="35"/>
    </row>
    <row r="142" ht="12.75">
      <c r="C142" s="35"/>
    </row>
    <row r="143" ht="12.75">
      <c r="C143" s="35"/>
    </row>
    <row r="144" ht="12.75">
      <c r="C144" s="35"/>
    </row>
    <row r="145" ht="12.75">
      <c r="C145" s="35"/>
    </row>
    <row r="146" ht="12.75">
      <c r="C146" s="35"/>
    </row>
    <row r="147" ht="12.75">
      <c r="C147" s="35"/>
    </row>
    <row r="148" ht="12.75">
      <c r="C148" s="35"/>
    </row>
    <row r="149" ht="12.75">
      <c r="C149" s="35"/>
    </row>
    <row r="150" ht="12.75">
      <c r="C150" s="35"/>
    </row>
    <row r="151" ht="12.75">
      <c r="C151" s="35"/>
    </row>
    <row r="152" ht="12.75">
      <c r="C152" s="35"/>
    </row>
    <row r="153" ht="12.75">
      <c r="C153" s="35"/>
    </row>
    <row r="154" ht="12.75">
      <c r="C154" s="35"/>
    </row>
    <row r="155" ht="12.75">
      <c r="C155" s="35"/>
    </row>
    <row r="156" ht="12.75">
      <c r="C156" s="35"/>
    </row>
    <row r="157" ht="12.75">
      <c r="C157" s="35"/>
    </row>
    <row r="158" ht="12.75">
      <c r="C158" s="35"/>
    </row>
    <row r="159" ht="12.75">
      <c r="C159" s="35"/>
    </row>
    <row r="160" ht="12.75">
      <c r="C160" s="35"/>
    </row>
    <row r="161" ht="12.75">
      <c r="C161" s="35"/>
    </row>
    <row r="162" ht="12.75">
      <c r="C162" s="35"/>
    </row>
    <row r="163" ht="12.75">
      <c r="C163" s="35"/>
    </row>
    <row r="164" ht="12.75">
      <c r="C164" s="35"/>
    </row>
    <row r="165" ht="12.75">
      <c r="C165" s="35"/>
    </row>
    <row r="166" ht="12.75">
      <c r="C166" s="35"/>
    </row>
    <row r="167" ht="12.75">
      <c r="C167" s="35"/>
    </row>
    <row r="168" ht="12.75">
      <c r="C168" s="35"/>
    </row>
    <row r="169" ht="12.75">
      <c r="C169" s="35"/>
    </row>
    <row r="170" ht="12.75">
      <c r="C170" s="35"/>
    </row>
    <row r="171" ht="12.75">
      <c r="C171" s="35"/>
    </row>
    <row r="172" ht="12.75">
      <c r="C172" s="35"/>
    </row>
    <row r="173" ht="12.75">
      <c r="C173" s="35"/>
    </row>
    <row r="174" ht="12.75">
      <c r="C174" s="35"/>
    </row>
    <row r="175" ht="12.75">
      <c r="C175" s="35"/>
    </row>
    <row r="176" ht="12.75">
      <c r="C176" s="35"/>
    </row>
    <row r="177" ht="12.75">
      <c r="C177" s="35"/>
    </row>
    <row r="178" ht="12.75">
      <c r="C178" s="35"/>
    </row>
    <row r="179" ht="12.75">
      <c r="C179" s="35"/>
    </row>
    <row r="180" ht="12.75">
      <c r="C180" s="35"/>
    </row>
    <row r="181" ht="12.75">
      <c r="C181" s="35"/>
    </row>
    <row r="182" ht="12.75">
      <c r="C182" s="35"/>
    </row>
    <row r="183" ht="12.75">
      <c r="C183" s="35"/>
    </row>
    <row r="184" ht="12.75">
      <c r="C184" s="35"/>
    </row>
    <row r="185" ht="12.75">
      <c r="C185" s="35"/>
    </row>
    <row r="186" ht="12.75">
      <c r="C186" s="35"/>
    </row>
    <row r="187" ht="12.75">
      <c r="C187" s="35"/>
    </row>
    <row r="188" ht="12.75">
      <c r="C188" s="35"/>
    </row>
    <row r="189" ht="12.75">
      <c r="C189" s="35"/>
    </row>
    <row r="190" ht="12.75">
      <c r="C190" s="35"/>
    </row>
    <row r="191" ht="12.75">
      <c r="C191" s="35"/>
    </row>
    <row r="192" ht="12.75">
      <c r="C192" s="35"/>
    </row>
    <row r="193" ht="12.75">
      <c r="C193" s="35"/>
    </row>
    <row r="194" ht="12.75">
      <c r="C194" s="35"/>
    </row>
    <row r="195" ht="12.75">
      <c r="C195" s="35"/>
    </row>
    <row r="196" ht="12.75">
      <c r="C196" s="35"/>
    </row>
    <row r="197" ht="12.75">
      <c r="C197" s="35"/>
    </row>
    <row r="198" ht="12.75">
      <c r="C198" s="35"/>
    </row>
    <row r="199" ht="12.75">
      <c r="C199" s="35"/>
    </row>
    <row r="200" ht="12.75">
      <c r="C200" s="35"/>
    </row>
    <row r="201" ht="12.75">
      <c r="C201" s="35"/>
    </row>
    <row r="202" ht="12.75">
      <c r="C202" s="35"/>
    </row>
    <row r="203" ht="12.75">
      <c r="C203" s="35"/>
    </row>
    <row r="204" ht="12.75">
      <c r="C204" s="35"/>
    </row>
    <row r="205" ht="12.75">
      <c r="C205" s="35"/>
    </row>
    <row r="206" ht="12.75">
      <c r="C206" s="35"/>
    </row>
    <row r="207" ht="12.75">
      <c r="C207" s="35"/>
    </row>
    <row r="208" ht="12.75">
      <c r="C208" s="35"/>
    </row>
    <row r="209" ht="12.75">
      <c r="C209" s="35"/>
    </row>
    <row r="210" ht="12.75">
      <c r="C210" s="35"/>
    </row>
    <row r="211" ht="12.75">
      <c r="C211" s="35"/>
    </row>
    <row r="212" ht="12.75">
      <c r="C212" s="35"/>
    </row>
    <row r="213" ht="12.75">
      <c r="C213" s="35"/>
    </row>
    <row r="214" ht="12.75">
      <c r="C214" s="35"/>
    </row>
    <row r="215" ht="12.75">
      <c r="C215" s="35"/>
    </row>
    <row r="216" ht="12.75">
      <c r="C216" s="35"/>
    </row>
    <row r="217" ht="12.75">
      <c r="C217" s="35"/>
    </row>
    <row r="218" ht="12.75">
      <c r="C218" s="35"/>
    </row>
    <row r="219" ht="12.75">
      <c r="C219" s="35"/>
    </row>
    <row r="220" ht="12.75">
      <c r="C220" s="35"/>
    </row>
    <row r="221" ht="12.75">
      <c r="C221" s="35"/>
    </row>
    <row r="222" ht="12.75">
      <c r="C222" s="35"/>
    </row>
    <row r="223" ht="12.75">
      <c r="C223" s="35"/>
    </row>
    <row r="224" ht="12.75">
      <c r="C224" s="35"/>
    </row>
    <row r="225" ht="12.75">
      <c r="C225" s="35"/>
    </row>
    <row r="226" ht="12.75">
      <c r="C226" s="35"/>
    </row>
    <row r="227" ht="12.75">
      <c r="C227" s="35"/>
    </row>
    <row r="228" ht="12.75">
      <c r="C228" s="35"/>
    </row>
    <row r="229" ht="12.75">
      <c r="C229" s="35"/>
    </row>
    <row r="230" ht="12.75">
      <c r="C230" s="35"/>
    </row>
    <row r="231" ht="12.75">
      <c r="C231" s="35"/>
    </row>
    <row r="232" ht="12.75">
      <c r="C232" s="35"/>
    </row>
    <row r="233" ht="12.75">
      <c r="C233" s="35"/>
    </row>
    <row r="234" ht="12.75">
      <c r="C234" s="35"/>
    </row>
    <row r="235" ht="12.75">
      <c r="C235" s="35"/>
    </row>
    <row r="236" ht="12.75">
      <c r="C236" s="35"/>
    </row>
    <row r="237" ht="12.75">
      <c r="C237" s="35"/>
    </row>
    <row r="238" ht="12.75">
      <c r="C238" s="35"/>
    </row>
    <row r="239" ht="12.75">
      <c r="C239" s="35"/>
    </row>
    <row r="240" ht="12.75">
      <c r="C240" s="35"/>
    </row>
    <row r="241" ht="12.75">
      <c r="C241" s="35"/>
    </row>
    <row r="242" ht="12.75">
      <c r="C242" s="35"/>
    </row>
    <row r="243" ht="12.75">
      <c r="C243" s="35"/>
    </row>
    <row r="244" ht="12.75">
      <c r="C244" s="35"/>
    </row>
    <row r="245" ht="12.75">
      <c r="C245" s="35"/>
    </row>
    <row r="246" ht="12.75">
      <c r="C246" s="35"/>
    </row>
    <row r="247" ht="12.75">
      <c r="C247" s="35"/>
    </row>
    <row r="248" ht="12.75">
      <c r="C248" s="35"/>
    </row>
    <row r="249" ht="12.75">
      <c r="C249" s="35"/>
    </row>
    <row r="250" ht="12.75">
      <c r="C250" s="35"/>
    </row>
    <row r="251" ht="12.75">
      <c r="C251" s="35"/>
    </row>
    <row r="252" ht="12.75">
      <c r="C252" s="35"/>
    </row>
    <row r="253" ht="12.75">
      <c r="C253" s="35"/>
    </row>
  </sheetData>
  <mergeCells count="16">
    <mergeCell ref="A127:B127"/>
    <mergeCell ref="A9:K9"/>
    <mergeCell ref="H10:K10"/>
    <mergeCell ref="A11:A13"/>
    <mergeCell ref="B11:B13"/>
    <mergeCell ref="C11:G11"/>
    <mergeCell ref="H11:J11"/>
    <mergeCell ref="K11:K13"/>
    <mergeCell ref="C12:C13"/>
    <mergeCell ref="D12:G12"/>
    <mergeCell ref="H12:H13"/>
    <mergeCell ref="F1:K1"/>
    <mergeCell ref="H4:K4"/>
    <mergeCell ref="H6:K6"/>
    <mergeCell ref="A8:K8"/>
    <mergeCell ref="J12:J13"/>
  </mergeCells>
  <printOptions/>
  <pageMargins left="0.54" right="0.13" top="0.27" bottom="0.3" header="0.5" footer="0.32"/>
  <pageSetup horizontalDpi="600" verticalDpi="600" orientation="portrait" paperSize="9" scale="74" r:id="rId1"/>
  <rowBreaks count="4" manualBreakCount="4">
    <brk id="39" max="10" man="1"/>
    <brk id="74" max="10" man="1"/>
    <brk id="108" max="10" man="1"/>
    <brk id="127"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AU186"/>
  <sheetViews>
    <sheetView view="pageBreakPreview" zoomScale="60" zoomScaleNormal="65" workbookViewId="0" topLeftCell="A5">
      <pane xSplit="1" ySplit="6" topLeftCell="B45" activePane="bottomRight" state="frozen"/>
      <selection pane="topLeft" activeCell="A5" sqref="A5"/>
      <selection pane="topRight" activeCell="B5" sqref="B5"/>
      <selection pane="bottomLeft" activeCell="A11" sqref="A11"/>
      <selection pane="bottomRight" activeCell="A59" sqref="A59"/>
    </sheetView>
  </sheetViews>
  <sheetFormatPr defaultColWidth="9.00390625" defaultRowHeight="12.75"/>
  <cols>
    <col min="1" max="1" width="18.125" style="3" customWidth="1"/>
    <col min="2" max="2" width="12.75390625" style="3" customWidth="1"/>
    <col min="3" max="3" width="76.875" style="3" customWidth="1"/>
    <col min="4" max="4" width="23.75390625" style="3" customWidth="1"/>
    <col min="5" max="5" width="38.875" style="3" customWidth="1"/>
    <col min="6" max="6" width="12.75390625" style="3" customWidth="1"/>
    <col min="7" max="7" width="9.25390625" style="3" customWidth="1"/>
    <col min="8" max="8" width="12.125" style="3" customWidth="1"/>
    <col min="9" max="9" width="8.25390625" style="3" customWidth="1"/>
    <col min="10" max="10" width="9.875" style="3" customWidth="1"/>
    <col min="11" max="11" width="18.00390625" style="3" customWidth="1"/>
    <col min="12" max="12" width="18.125" style="3" customWidth="1"/>
    <col min="13" max="13" width="24.25390625" style="3" customWidth="1"/>
    <col min="14" max="14" width="16.25390625" style="3" customWidth="1"/>
    <col min="15" max="15" width="20.75390625" style="3" customWidth="1"/>
    <col min="16" max="16" width="23.75390625" style="3" customWidth="1"/>
    <col min="17" max="18" width="19.375" style="7" customWidth="1"/>
    <col min="19" max="19" width="22.375" style="7" customWidth="1"/>
    <col min="20" max="20" width="19.25390625" style="7" customWidth="1"/>
    <col min="21" max="21" width="20.25390625" style="7" customWidth="1"/>
    <col min="22" max="22" width="16.625" style="115" customWidth="1"/>
    <col min="23" max="16384" width="9.125" style="3" customWidth="1"/>
  </cols>
  <sheetData>
    <row r="1" spans="11:22" ht="12.75">
      <c r="K1" s="5" t="s">
        <v>342</v>
      </c>
      <c r="O1" s="5"/>
      <c r="P1" s="5"/>
      <c r="V1" s="114">
        <v>2</v>
      </c>
    </row>
    <row r="2" ht="12.75">
      <c r="K2" s="3" t="s">
        <v>100</v>
      </c>
    </row>
    <row r="3" spans="11:16" ht="12.75">
      <c r="K3" s="5" t="s">
        <v>305</v>
      </c>
      <c r="O3" s="5"/>
      <c r="P3" s="5"/>
    </row>
    <row r="4" spans="2:16" ht="15" customHeight="1">
      <c r="B4" s="406" t="s">
        <v>343</v>
      </c>
      <c r="C4" s="406"/>
      <c r="D4" s="406"/>
      <c r="E4" s="406"/>
      <c r="F4" s="406"/>
      <c r="G4" s="406"/>
      <c r="H4" s="406"/>
      <c r="I4" s="406"/>
      <c r="J4" s="406"/>
      <c r="K4" s="116"/>
      <c r="L4" s="116"/>
      <c r="M4" s="116"/>
      <c r="N4" s="116"/>
      <c r="O4" s="116"/>
      <c r="P4" s="116"/>
    </row>
    <row r="5" spans="2:16" ht="15" customHeight="1">
      <c r="B5" s="406"/>
      <c r="C5" s="406"/>
      <c r="D5" s="406"/>
      <c r="E5" s="406"/>
      <c r="F5" s="406"/>
      <c r="G5" s="406"/>
      <c r="H5" s="406"/>
      <c r="I5" s="406"/>
      <c r="J5" s="406"/>
      <c r="K5" s="116"/>
      <c r="L5" s="116"/>
      <c r="M5" s="116"/>
      <c r="N5" s="116"/>
      <c r="O5" s="116"/>
      <c r="P5" s="116"/>
    </row>
    <row r="6" spans="1:22" ht="12.75" customHeight="1" thickBot="1">
      <c r="A6" s="117"/>
      <c r="B6" s="117"/>
      <c r="C6" s="117"/>
      <c r="D6" s="117"/>
      <c r="E6" s="117"/>
      <c r="F6" s="117"/>
      <c r="G6" s="117"/>
      <c r="H6" s="117"/>
      <c r="I6" s="117"/>
      <c r="J6" s="117"/>
      <c r="K6" s="117"/>
      <c r="L6" s="118" t="s">
        <v>201</v>
      </c>
      <c r="M6" s="118"/>
      <c r="N6" s="117"/>
      <c r="O6" s="117"/>
      <c r="P6" s="117"/>
      <c r="V6" s="118" t="s">
        <v>201</v>
      </c>
    </row>
    <row r="7" spans="1:22" ht="12.75" customHeight="1" thickBot="1">
      <c r="A7" s="404" t="s">
        <v>207</v>
      </c>
      <c r="B7" s="407" t="s">
        <v>101</v>
      </c>
      <c r="C7" s="408"/>
      <c r="D7" s="409"/>
      <c r="E7" s="409"/>
      <c r="F7" s="409"/>
      <c r="G7" s="409"/>
      <c r="H7" s="409"/>
      <c r="I7" s="409"/>
      <c r="J7" s="409"/>
      <c r="K7" s="409"/>
      <c r="L7" s="400" t="s">
        <v>197</v>
      </c>
      <c r="M7" s="404" t="s">
        <v>207</v>
      </c>
      <c r="N7" s="407" t="s">
        <v>344</v>
      </c>
      <c r="O7" s="409"/>
      <c r="P7" s="409"/>
      <c r="Q7" s="409"/>
      <c r="R7" s="409"/>
      <c r="S7" s="409"/>
      <c r="T7" s="409"/>
      <c r="U7" s="410"/>
      <c r="V7" s="398" t="s">
        <v>345</v>
      </c>
    </row>
    <row r="8" spans="1:22" s="121" customFormat="1" ht="16.5" customHeight="1" thickBot="1">
      <c r="A8" s="405"/>
      <c r="B8" s="411" t="s">
        <v>205</v>
      </c>
      <c r="C8" s="400" t="s">
        <v>466</v>
      </c>
      <c r="D8" s="413" t="s">
        <v>206</v>
      </c>
      <c r="E8" s="400" t="s">
        <v>253</v>
      </c>
      <c r="F8" s="402" t="s">
        <v>102</v>
      </c>
      <c r="G8" s="403"/>
      <c r="H8" s="403"/>
      <c r="I8" s="403"/>
      <c r="J8" s="403"/>
      <c r="K8" s="403"/>
      <c r="L8" s="401"/>
      <c r="M8" s="405"/>
      <c r="N8" s="400" t="s">
        <v>346</v>
      </c>
      <c r="O8" s="400" t="s">
        <v>347</v>
      </c>
      <c r="P8" s="400" t="s">
        <v>348</v>
      </c>
      <c r="Q8" s="404" t="s">
        <v>349</v>
      </c>
      <c r="R8" s="404" t="s">
        <v>350</v>
      </c>
      <c r="S8" s="404" t="s">
        <v>351</v>
      </c>
      <c r="T8" s="404" t="s">
        <v>394</v>
      </c>
      <c r="U8" s="404" t="s">
        <v>395</v>
      </c>
      <c r="V8" s="399"/>
    </row>
    <row r="9" spans="1:22" s="121" customFormat="1" ht="64.5" customHeight="1" thickBot="1">
      <c r="A9" s="405"/>
      <c r="B9" s="412"/>
      <c r="C9" s="401"/>
      <c r="D9" s="414"/>
      <c r="E9" s="401"/>
      <c r="F9" s="400" t="s">
        <v>103</v>
      </c>
      <c r="G9" s="400" t="s">
        <v>104</v>
      </c>
      <c r="H9" s="400" t="s">
        <v>198</v>
      </c>
      <c r="I9" s="402" t="s">
        <v>396</v>
      </c>
      <c r="J9" s="403"/>
      <c r="K9" s="400" t="s">
        <v>105</v>
      </c>
      <c r="L9" s="401"/>
      <c r="M9" s="405"/>
      <c r="N9" s="401"/>
      <c r="O9" s="401"/>
      <c r="P9" s="401"/>
      <c r="Q9" s="405"/>
      <c r="R9" s="405"/>
      <c r="S9" s="405"/>
      <c r="T9" s="405"/>
      <c r="U9" s="405"/>
      <c r="V9" s="399"/>
    </row>
    <row r="10" spans="1:22" s="121" customFormat="1" ht="171" customHeight="1" thickBot="1">
      <c r="A10" s="405"/>
      <c r="B10" s="412"/>
      <c r="C10" s="120" t="s">
        <v>465</v>
      </c>
      <c r="D10" s="414"/>
      <c r="E10" s="401"/>
      <c r="F10" s="401"/>
      <c r="G10" s="401"/>
      <c r="H10" s="401"/>
      <c r="I10" s="119" t="s">
        <v>106</v>
      </c>
      <c r="J10" s="119" t="s">
        <v>107</v>
      </c>
      <c r="K10" s="401"/>
      <c r="L10" s="401"/>
      <c r="M10" s="405"/>
      <c r="N10" s="401"/>
      <c r="O10" s="401"/>
      <c r="P10" s="401"/>
      <c r="Q10" s="405"/>
      <c r="R10" s="405"/>
      <c r="S10" s="405"/>
      <c r="T10" s="405"/>
      <c r="U10" s="405"/>
      <c r="V10" s="399"/>
    </row>
    <row r="11" spans="1:47" s="127" customFormat="1" ht="15.75">
      <c r="A11" s="122" t="s">
        <v>108</v>
      </c>
      <c r="B11" s="123">
        <v>549.5</v>
      </c>
      <c r="C11" s="124">
        <v>1071.8</v>
      </c>
      <c r="D11" s="123">
        <v>225.4</v>
      </c>
      <c r="E11" s="123">
        <f>F11+G11+I11+J11+K11+H11</f>
        <v>524.8999999999999</v>
      </c>
      <c r="F11" s="123">
        <v>342.7</v>
      </c>
      <c r="G11" s="123">
        <v>60.4</v>
      </c>
      <c r="H11" s="123">
        <v>2.8</v>
      </c>
      <c r="I11" s="123"/>
      <c r="J11" s="123"/>
      <c r="K11" s="123">
        <v>119</v>
      </c>
      <c r="L11" s="123">
        <v>76.1</v>
      </c>
      <c r="M11" s="122" t="s">
        <v>108</v>
      </c>
      <c r="N11" s="123"/>
      <c r="O11" s="123">
        <v>375</v>
      </c>
      <c r="P11" s="124">
        <v>800</v>
      </c>
      <c r="Q11" s="125"/>
      <c r="R11" s="125"/>
      <c r="S11" s="125">
        <v>329.1</v>
      </c>
      <c r="T11" s="125">
        <v>361.2</v>
      </c>
      <c r="U11" s="125"/>
      <c r="V11" s="126">
        <f aca="true" t="shared" si="0" ref="V11:V56">B11+C11+D11+E11+L11+N11+O11+P11+Q11+R11+S11+T11+U11</f>
        <v>4313</v>
      </c>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row>
    <row r="12" spans="1:47" s="127" customFormat="1" ht="15.75">
      <c r="A12" s="129" t="s">
        <v>109</v>
      </c>
      <c r="B12" s="45">
        <v>2543.4</v>
      </c>
      <c r="C12" s="130">
        <v>7804.7</v>
      </c>
      <c r="D12" s="45">
        <v>460.5</v>
      </c>
      <c r="E12" s="45">
        <f aca="true" t="shared" si="1" ref="E12:E54">F12+G12+I12+J12+K12+H12</f>
        <v>1959.5</v>
      </c>
      <c r="F12" s="45">
        <v>1307.6</v>
      </c>
      <c r="G12" s="45">
        <v>327.4</v>
      </c>
      <c r="H12" s="45">
        <v>25.8</v>
      </c>
      <c r="I12" s="45"/>
      <c r="J12" s="45"/>
      <c r="K12" s="45">
        <v>298.7</v>
      </c>
      <c r="L12" s="45">
        <v>326.8</v>
      </c>
      <c r="M12" s="129" t="s">
        <v>109</v>
      </c>
      <c r="N12" s="45"/>
      <c r="O12" s="45">
        <v>750</v>
      </c>
      <c r="P12" s="130">
        <v>320</v>
      </c>
      <c r="Q12" s="131">
        <v>50</v>
      </c>
      <c r="R12" s="131">
        <v>494</v>
      </c>
      <c r="S12" s="131">
        <v>1149.7</v>
      </c>
      <c r="T12" s="131">
        <v>1893.8</v>
      </c>
      <c r="U12" s="131"/>
      <c r="V12" s="132">
        <f t="shared" si="0"/>
        <v>17752.4</v>
      </c>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row>
    <row r="13" spans="1:47" s="127" customFormat="1" ht="15.75">
      <c r="A13" s="129" t="s">
        <v>110</v>
      </c>
      <c r="B13" s="45">
        <v>7807.6</v>
      </c>
      <c r="C13" s="130">
        <v>15261.2</v>
      </c>
      <c r="D13" s="45">
        <v>530.1</v>
      </c>
      <c r="E13" s="45">
        <f t="shared" si="1"/>
        <v>5453.7</v>
      </c>
      <c r="F13" s="45">
        <v>3453.3</v>
      </c>
      <c r="G13" s="45">
        <v>486.4</v>
      </c>
      <c r="H13" s="45">
        <v>93.7</v>
      </c>
      <c r="I13" s="45"/>
      <c r="J13" s="45"/>
      <c r="K13" s="45">
        <v>1420.3</v>
      </c>
      <c r="L13" s="45">
        <v>500.9</v>
      </c>
      <c r="M13" s="129" t="s">
        <v>110</v>
      </c>
      <c r="N13" s="45"/>
      <c r="O13" s="45">
        <v>2630</v>
      </c>
      <c r="P13" s="130">
        <v>4450</v>
      </c>
      <c r="Q13" s="131">
        <v>350</v>
      </c>
      <c r="R13" s="131"/>
      <c r="S13" s="131">
        <v>804.1</v>
      </c>
      <c r="T13" s="131">
        <v>2824.3</v>
      </c>
      <c r="U13" s="131"/>
      <c r="V13" s="132">
        <f t="shared" si="0"/>
        <v>40611.9</v>
      </c>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row>
    <row r="14" spans="1:47" s="127" customFormat="1" ht="15.75">
      <c r="A14" s="129" t="s">
        <v>111</v>
      </c>
      <c r="B14" s="45">
        <v>1542.8</v>
      </c>
      <c r="C14" s="130">
        <v>1939.3</v>
      </c>
      <c r="D14" s="45">
        <v>397.4</v>
      </c>
      <c r="E14" s="45">
        <f t="shared" si="1"/>
        <v>619.5</v>
      </c>
      <c r="F14" s="45">
        <v>69.6</v>
      </c>
      <c r="G14" s="45">
        <v>97.7</v>
      </c>
      <c r="H14" s="45">
        <v>3.4</v>
      </c>
      <c r="I14" s="45"/>
      <c r="J14" s="45">
        <v>151.7</v>
      </c>
      <c r="K14" s="45">
        <v>297.1</v>
      </c>
      <c r="L14" s="45">
        <v>42.5</v>
      </c>
      <c r="M14" s="129" t="s">
        <v>111</v>
      </c>
      <c r="N14" s="45"/>
      <c r="O14" s="45"/>
      <c r="P14" s="130"/>
      <c r="Q14" s="131"/>
      <c r="R14" s="131">
        <v>428.2</v>
      </c>
      <c r="S14" s="131">
        <v>155.9</v>
      </c>
      <c r="T14" s="131">
        <v>551.5</v>
      </c>
      <c r="U14" s="131"/>
      <c r="V14" s="132">
        <f t="shared" si="0"/>
        <v>5677.099999999999</v>
      </c>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row>
    <row r="15" spans="1:47" s="127" customFormat="1" ht="15.75">
      <c r="A15" s="129" t="s">
        <v>112</v>
      </c>
      <c r="B15" s="45">
        <v>1529.4</v>
      </c>
      <c r="C15" s="130">
        <v>3434.8</v>
      </c>
      <c r="D15" s="45">
        <v>171.4</v>
      </c>
      <c r="E15" s="45">
        <f t="shared" si="1"/>
        <v>1060</v>
      </c>
      <c r="F15" s="45">
        <v>603.4</v>
      </c>
      <c r="G15" s="45">
        <v>81.5</v>
      </c>
      <c r="H15" s="45">
        <v>10.1</v>
      </c>
      <c r="I15" s="45"/>
      <c r="J15" s="45"/>
      <c r="K15" s="45">
        <v>365</v>
      </c>
      <c r="L15" s="45">
        <v>67.2</v>
      </c>
      <c r="M15" s="129" t="s">
        <v>112</v>
      </c>
      <c r="N15" s="45"/>
      <c r="O15" s="45"/>
      <c r="P15" s="130">
        <v>1200</v>
      </c>
      <c r="Q15" s="131">
        <v>200</v>
      </c>
      <c r="R15" s="131">
        <v>1300</v>
      </c>
      <c r="S15" s="131">
        <v>413.4</v>
      </c>
      <c r="T15" s="131">
        <v>711.6</v>
      </c>
      <c r="U15" s="131"/>
      <c r="V15" s="132">
        <f t="shared" si="0"/>
        <v>10087.8</v>
      </c>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row>
    <row r="16" spans="1:47" s="127" customFormat="1" ht="15.75">
      <c r="A16" s="129" t="s">
        <v>113</v>
      </c>
      <c r="B16" s="45">
        <v>1061.5</v>
      </c>
      <c r="C16" s="130">
        <v>1525.8</v>
      </c>
      <c r="D16" s="45">
        <v>119</v>
      </c>
      <c r="E16" s="45">
        <f t="shared" si="1"/>
        <v>261.7</v>
      </c>
      <c r="F16" s="45">
        <v>79.2</v>
      </c>
      <c r="G16" s="45">
        <v>39.7</v>
      </c>
      <c r="H16" s="45">
        <v>21</v>
      </c>
      <c r="I16" s="45"/>
      <c r="J16" s="45"/>
      <c r="K16" s="45">
        <v>121.8</v>
      </c>
      <c r="L16" s="45">
        <v>41.8</v>
      </c>
      <c r="M16" s="129" t="s">
        <v>113</v>
      </c>
      <c r="N16" s="45"/>
      <c r="O16" s="45"/>
      <c r="P16" s="130">
        <v>2600</v>
      </c>
      <c r="Q16" s="131"/>
      <c r="R16" s="131"/>
      <c r="S16" s="131">
        <v>526.1</v>
      </c>
      <c r="T16" s="131">
        <v>527</v>
      </c>
      <c r="U16" s="131"/>
      <c r="V16" s="132">
        <f t="shared" si="0"/>
        <v>6662.900000000001</v>
      </c>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row>
    <row r="17" spans="1:47" s="127" customFormat="1" ht="15.75">
      <c r="A17" s="129" t="s">
        <v>114</v>
      </c>
      <c r="B17" s="45">
        <v>1158</v>
      </c>
      <c r="C17" s="130">
        <v>1381.9</v>
      </c>
      <c r="D17" s="45">
        <v>79.2</v>
      </c>
      <c r="E17" s="45">
        <f t="shared" si="1"/>
        <v>439.9</v>
      </c>
      <c r="F17" s="45">
        <v>117.4</v>
      </c>
      <c r="G17" s="45">
        <v>86.1</v>
      </c>
      <c r="H17" s="45">
        <v>22.9</v>
      </c>
      <c r="I17" s="45"/>
      <c r="J17" s="45"/>
      <c r="K17" s="45">
        <v>213.5</v>
      </c>
      <c r="L17" s="45">
        <v>46.4</v>
      </c>
      <c r="M17" s="129" t="s">
        <v>114</v>
      </c>
      <c r="N17" s="45"/>
      <c r="O17" s="45"/>
      <c r="P17" s="130"/>
      <c r="Q17" s="131">
        <v>50</v>
      </c>
      <c r="R17" s="131"/>
      <c r="S17" s="131">
        <v>659.9</v>
      </c>
      <c r="T17" s="131">
        <v>773.2</v>
      </c>
      <c r="U17" s="131"/>
      <c r="V17" s="132">
        <f t="shared" si="0"/>
        <v>4588.5</v>
      </c>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row>
    <row r="18" spans="1:47" s="127" customFormat="1" ht="15.75">
      <c r="A18" s="129" t="s">
        <v>115</v>
      </c>
      <c r="B18" s="45">
        <v>515</v>
      </c>
      <c r="C18" s="130">
        <v>1924.9</v>
      </c>
      <c r="D18" s="45">
        <v>13.2</v>
      </c>
      <c r="E18" s="45">
        <f t="shared" si="1"/>
        <v>276.6</v>
      </c>
      <c r="F18" s="45">
        <v>35.9</v>
      </c>
      <c r="G18" s="45">
        <v>83.5</v>
      </c>
      <c r="H18" s="45">
        <v>27.1</v>
      </c>
      <c r="I18" s="45"/>
      <c r="J18" s="45"/>
      <c r="K18" s="45">
        <v>130.1</v>
      </c>
      <c r="L18" s="45">
        <v>68.8</v>
      </c>
      <c r="M18" s="129" t="s">
        <v>115</v>
      </c>
      <c r="N18" s="45"/>
      <c r="O18" s="45"/>
      <c r="P18" s="130"/>
      <c r="Q18" s="131"/>
      <c r="R18" s="131"/>
      <c r="S18" s="131">
        <v>9.2</v>
      </c>
      <c r="T18" s="131">
        <v>228.8</v>
      </c>
      <c r="U18" s="131"/>
      <c r="V18" s="132">
        <f t="shared" si="0"/>
        <v>3036.5</v>
      </c>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row>
    <row r="19" spans="1:47" s="127" customFormat="1" ht="16.5" customHeight="1">
      <c r="A19" s="129" t="s">
        <v>116</v>
      </c>
      <c r="B19" s="45">
        <v>13611.6</v>
      </c>
      <c r="C19" s="130">
        <v>34858.5</v>
      </c>
      <c r="D19" s="45">
        <v>784.5</v>
      </c>
      <c r="E19" s="45">
        <f t="shared" si="1"/>
        <v>20598.7</v>
      </c>
      <c r="F19" s="45">
        <v>13802.6</v>
      </c>
      <c r="G19" s="45">
        <v>2571.6</v>
      </c>
      <c r="H19" s="45">
        <v>550</v>
      </c>
      <c r="I19" s="45">
        <v>339.8</v>
      </c>
      <c r="J19" s="45"/>
      <c r="K19" s="45">
        <v>3334.7</v>
      </c>
      <c r="L19" s="45">
        <v>2419.9</v>
      </c>
      <c r="M19" s="129" t="s">
        <v>116</v>
      </c>
      <c r="N19" s="45"/>
      <c r="O19" s="45">
        <v>8350</v>
      </c>
      <c r="P19" s="130">
        <v>6945</v>
      </c>
      <c r="Q19" s="131">
        <v>350</v>
      </c>
      <c r="R19" s="131">
        <v>432.9</v>
      </c>
      <c r="S19" s="131">
        <v>1156.3</v>
      </c>
      <c r="T19" s="131">
        <v>8954.9</v>
      </c>
      <c r="U19" s="131"/>
      <c r="V19" s="132">
        <f t="shared" si="0"/>
        <v>98462.29999999999</v>
      </c>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row>
    <row r="20" spans="1:47" s="127" customFormat="1" ht="15.75">
      <c r="A20" s="129" t="s">
        <v>117</v>
      </c>
      <c r="B20" s="45">
        <v>1982.7</v>
      </c>
      <c r="C20" s="130">
        <v>5524.5</v>
      </c>
      <c r="D20" s="45">
        <v>221.6</v>
      </c>
      <c r="E20" s="45">
        <f t="shared" si="1"/>
        <v>1224.5</v>
      </c>
      <c r="F20" s="45">
        <v>653.8</v>
      </c>
      <c r="G20" s="45">
        <v>164.3</v>
      </c>
      <c r="H20" s="45">
        <v>49.2</v>
      </c>
      <c r="I20" s="45"/>
      <c r="J20" s="45"/>
      <c r="K20" s="45">
        <v>357.2</v>
      </c>
      <c r="L20" s="45">
        <v>162.8</v>
      </c>
      <c r="M20" s="129" t="s">
        <v>117</v>
      </c>
      <c r="N20" s="45"/>
      <c r="O20" s="45">
        <v>725</v>
      </c>
      <c r="P20" s="130">
        <v>765</v>
      </c>
      <c r="Q20" s="131">
        <v>150</v>
      </c>
      <c r="R20" s="131"/>
      <c r="S20" s="131">
        <v>232.9</v>
      </c>
      <c r="T20" s="131">
        <v>726.6</v>
      </c>
      <c r="U20" s="131"/>
      <c r="V20" s="132">
        <f t="shared" si="0"/>
        <v>11715.599999999999</v>
      </c>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row>
    <row r="21" spans="1:47" s="127" customFormat="1" ht="15.75">
      <c r="A21" s="129" t="s">
        <v>118</v>
      </c>
      <c r="B21" s="45">
        <v>2613.5</v>
      </c>
      <c r="C21" s="130">
        <v>7990</v>
      </c>
      <c r="D21" s="45">
        <v>344.8</v>
      </c>
      <c r="E21" s="45">
        <f t="shared" si="1"/>
        <v>2297.8</v>
      </c>
      <c r="F21" s="45">
        <v>1678.7</v>
      </c>
      <c r="G21" s="45">
        <v>314.2</v>
      </c>
      <c r="H21" s="45">
        <v>6.5</v>
      </c>
      <c r="I21" s="45"/>
      <c r="J21" s="45"/>
      <c r="K21" s="45">
        <v>298.4</v>
      </c>
      <c r="L21" s="45">
        <v>316.2</v>
      </c>
      <c r="M21" s="129" t="s">
        <v>118</v>
      </c>
      <c r="N21" s="45"/>
      <c r="O21" s="45">
        <v>400</v>
      </c>
      <c r="P21" s="130">
        <v>1050</v>
      </c>
      <c r="Q21" s="131">
        <v>200</v>
      </c>
      <c r="R21" s="131"/>
      <c r="S21" s="131">
        <v>644.8</v>
      </c>
      <c r="T21" s="131">
        <v>1482</v>
      </c>
      <c r="U21" s="131"/>
      <c r="V21" s="132">
        <f t="shared" si="0"/>
        <v>17339.1</v>
      </c>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row>
    <row r="22" spans="1:47" s="127" customFormat="1" ht="15.75">
      <c r="A22" s="129" t="s">
        <v>119</v>
      </c>
      <c r="B22" s="45">
        <v>257.6</v>
      </c>
      <c r="C22" s="130">
        <v>381.6</v>
      </c>
      <c r="D22" s="45">
        <v>11.6</v>
      </c>
      <c r="E22" s="45">
        <f t="shared" si="1"/>
        <v>76.1</v>
      </c>
      <c r="F22" s="45">
        <v>23</v>
      </c>
      <c r="G22" s="45">
        <v>15.8</v>
      </c>
      <c r="H22" s="45">
        <v>2.4</v>
      </c>
      <c r="I22" s="45"/>
      <c r="J22" s="45"/>
      <c r="K22" s="45">
        <v>34.9</v>
      </c>
      <c r="L22" s="45">
        <v>0</v>
      </c>
      <c r="M22" s="129" t="s">
        <v>119</v>
      </c>
      <c r="N22" s="45"/>
      <c r="O22" s="45">
        <v>200</v>
      </c>
      <c r="P22" s="130">
        <v>400</v>
      </c>
      <c r="Q22" s="131"/>
      <c r="R22" s="131"/>
      <c r="S22" s="131">
        <v>129.4</v>
      </c>
      <c r="T22" s="131">
        <v>147.9</v>
      </c>
      <c r="U22" s="131"/>
      <c r="V22" s="132">
        <f t="shared" si="0"/>
        <v>1604.2000000000003</v>
      </c>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row>
    <row r="23" spans="1:47" s="127" customFormat="1" ht="15.75">
      <c r="A23" s="129" t="s">
        <v>397</v>
      </c>
      <c r="B23" s="45">
        <v>395.6</v>
      </c>
      <c r="C23" s="130">
        <v>599.2</v>
      </c>
      <c r="D23" s="45">
        <v>19.4</v>
      </c>
      <c r="E23" s="45">
        <f t="shared" si="1"/>
        <v>120.9</v>
      </c>
      <c r="F23" s="45">
        <v>31.4</v>
      </c>
      <c r="G23" s="45">
        <v>29.3</v>
      </c>
      <c r="H23" s="45">
        <v>6</v>
      </c>
      <c r="I23" s="45"/>
      <c r="J23" s="45"/>
      <c r="K23" s="45">
        <v>54.2</v>
      </c>
      <c r="L23" s="45">
        <v>30.8</v>
      </c>
      <c r="M23" s="129" t="s">
        <v>397</v>
      </c>
      <c r="N23" s="45"/>
      <c r="O23" s="45">
        <v>50</v>
      </c>
      <c r="P23" s="130"/>
      <c r="Q23" s="131">
        <v>100</v>
      </c>
      <c r="R23" s="131">
        <v>1600</v>
      </c>
      <c r="S23" s="131">
        <v>140.2</v>
      </c>
      <c r="T23" s="131">
        <v>269.6</v>
      </c>
      <c r="U23" s="131"/>
      <c r="V23" s="132">
        <f t="shared" si="0"/>
        <v>3325.7</v>
      </c>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row>
    <row r="24" spans="1:47" s="127" customFormat="1" ht="15.75">
      <c r="A24" s="129" t="s">
        <v>120</v>
      </c>
      <c r="B24" s="45">
        <v>2689.5</v>
      </c>
      <c r="C24" s="130">
        <v>7353</v>
      </c>
      <c r="D24" s="45">
        <v>76.3</v>
      </c>
      <c r="E24" s="45">
        <f t="shared" si="1"/>
        <v>1593.8</v>
      </c>
      <c r="F24" s="45">
        <v>1051.2</v>
      </c>
      <c r="G24" s="45">
        <v>211.7</v>
      </c>
      <c r="H24" s="45">
        <v>20.6</v>
      </c>
      <c r="I24" s="45"/>
      <c r="J24" s="45"/>
      <c r="K24" s="45">
        <v>310.3</v>
      </c>
      <c r="L24" s="45">
        <v>200.8</v>
      </c>
      <c r="M24" s="129" t="s">
        <v>120</v>
      </c>
      <c r="N24" s="45"/>
      <c r="O24" s="45">
        <v>2330</v>
      </c>
      <c r="P24" s="130"/>
      <c r="Q24" s="131">
        <v>300</v>
      </c>
      <c r="R24" s="131">
        <v>2729</v>
      </c>
      <c r="S24" s="131">
        <v>799.2</v>
      </c>
      <c r="T24" s="131">
        <v>1025.3</v>
      </c>
      <c r="U24" s="131"/>
      <c r="V24" s="132">
        <f t="shared" si="0"/>
        <v>19096.899999999998</v>
      </c>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row>
    <row r="25" spans="1:47" s="127" customFormat="1" ht="15.75">
      <c r="A25" s="129" t="s">
        <v>121</v>
      </c>
      <c r="B25" s="45">
        <v>5704.8</v>
      </c>
      <c r="C25" s="130">
        <v>13620.6</v>
      </c>
      <c r="D25" s="45">
        <v>594.1</v>
      </c>
      <c r="E25" s="45">
        <f t="shared" si="1"/>
        <v>5087.3</v>
      </c>
      <c r="F25" s="45">
        <v>3585.1</v>
      </c>
      <c r="G25" s="45">
        <v>625.9</v>
      </c>
      <c r="H25" s="45">
        <v>34.1</v>
      </c>
      <c r="I25" s="45"/>
      <c r="J25" s="45"/>
      <c r="K25" s="45">
        <v>842.2</v>
      </c>
      <c r="L25" s="45">
        <v>827.7</v>
      </c>
      <c r="M25" s="129" t="s">
        <v>121</v>
      </c>
      <c r="N25" s="45"/>
      <c r="O25" s="45">
        <v>850</v>
      </c>
      <c r="P25" s="130">
        <v>1500</v>
      </c>
      <c r="Q25" s="131">
        <v>100</v>
      </c>
      <c r="R25" s="131"/>
      <c r="S25" s="131">
        <v>915.5</v>
      </c>
      <c r="T25" s="131">
        <v>2066.2</v>
      </c>
      <c r="U25" s="131"/>
      <c r="V25" s="132">
        <f t="shared" si="0"/>
        <v>31266.2</v>
      </c>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row>
    <row r="26" spans="1:47" s="127" customFormat="1" ht="15.75">
      <c r="A26" s="129" t="s">
        <v>122</v>
      </c>
      <c r="B26" s="45">
        <v>1195.7</v>
      </c>
      <c r="C26" s="130">
        <v>2542.7</v>
      </c>
      <c r="D26" s="45">
        <v>432.6</v>
      </c>
      <c r="E26" s="45">
        <f t="shared" si="1"/>
        <v>452.8</v>
      </c>
      <c r="F26" s="45">
        <v>109.5</v>
      </c>
      <c r="G26" s="45">
        <v>127.2</v>
      </c>
      <c r="H26" s="45">
        <v>9.7</v>
      </c>
      <c r="I26" s="45"/>
      <c r="J26" s="45"/>
      <c r="K26" s="45">
        <v>206.4</v>
      </c>
      <c r="L26" s="45">
        <v>110.5</v>
      </c>
      <c r="M26" s="129" t="s">
        <v>122</v>
      </c>
      <c r="N26" s="45"/>
      <c r="O26" s="45">
        <v>1000</v>
      </c>
      <c r="P26" s="130"/>
      <c r="Q26" s="131"/>
      <c r="R26" s="131">
        <v>480</v>
      </c>
      <c r="S26" s="131">
        <v>545.5</v>
      </c>
      <c r="T26" s="131">
        <v>845.3</v>
      </c>
      <c r="U26" s="131"/>
      <c r="V26" s="132">
        <f t="shared" si="0"/>
        <v>7605.1</v>
      </c>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row>
    <row r="27" spans="1:47" s="127" customFormat="1" ht="15.75">
      <c r="A27" s="129" t="s">
        <v>123</v>
      </c>
      <c r="B27" s="45">
        <v>1804.2</v>
      </c>
      <c r="C27" s="130">
        <v>1439.9</v>
      </c>
      <c r="D27" s="45">
        <v>1340</v>
      </c>
      <c r="E27" s="45">
        <f t="shared" si="1"/>
        <v>1022.6999999999999</v>
      </c>
      <c r="F27" s="45">
        <v>83.8</v>
      </c>
      <c r="G27" s="45">
        <v>97</v>
      </c>
      <c r="H27" s="45">
        <v>8.4</v>
      </c>
      <c r="I27" s="45"/>
      <c r="J27" s="45">
        <v>591.3</v>
      </c>
      <c r="K27" s="45">
        <v>242.2</v>
      </c>
      <c r="L27" s="45">
        <v>94.1</v>
      </c>
      <c r="M27" s="129" t="s">
        <v>123</v>
      </c>
      <c r="N27" s="45"/>
      <c r="O27" s="45">
        <v>375</v>
      </c>
      <c r="P27" s="130"/>
      <c r="Q27" s="131"/>
      <c r="R27" s="131"/>
      <c r="S27" s="131">
        <v>666</v>
      </c>
      <c r="T27" s="131">
        <v>607.4</v>
      </c>
      <c r="U27" s="131"/>
      <c r="V27" s="132">
        <f t="shared" si="0"/>
        <v>7349.3</v>
      </c>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row>
    <row r="28" spans="1:47" s="127" customFormat="1" ht="15.75">
      <c r="A28" s="129" t="s">
        <v>124</v>
      </c>
      <c r="B28" s="45">
        <v>7212.8</v>
      </c>
      <c r="C28" s="130">
        <v>17794.8</v>
      </c>
      <c r="D28" s="45">
        <v>597.6</v>
      </c>
      <c r="E28" s="45">
        <f t="shared" si="1"/>
        <v>3970.0000000000005</v>
      </c>
      <c r="F28" s="45">
        <v>2194.4</v>
      </c>
      <c r="G28" s="45">
        <v>442.8</v>
      </c>
      <c r="H28" s="45">
        <v>2.3</v>
      </c>
      <c r="I28" s="45"/>
      <c r="J28" s="45"/>
      <c r="K28" s="45">
        <v>1330.5</v>
      </c>
      <c r="L28" s="45">
        <v>383.4</v>
      </c>
      <c r="M28" s="129" t="s">
        <v>124</v>
      </c>
      <c r="N28" s="45"/>
      <c r="O28" s="45">
        <v>1976</v>
      </c>
      <c r="P28" s="130">
        <v>2724</v>
      </c>
      <c r="Q28" s="131">
        <v>200</v>
      </c>
      <c r="R28" s="131">
        <v>3620</v>
      </c>
      <c r="S28" s="131">
        <v>536.3</v>
      </c>
      <c r="T28" s="131">
        <v>3555.6</v>
      </c>
      <c r="U28" s="131"/>
      <c r="V28" s="132">
        <f t="shared" si="0"/>
        <v>42570.5</v>
      </c>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row r="29" spans="1:47" s="127" customFormat="1" ht="15.75">
      <c r="A29" s="129" t="s">
        <v>125</v>
      </c>
      <c r="B29" s="45">
        <v>6264</v>
      </c>
      <c r="C29" s="130">
        <v>18900.2</v>
      </c>
      <c r="D29" s="45">
        <v>303.6</v>
      </c>
      <c r="E29" s="45">
        <f t="shared" si="1"/>
        <v>7197.3</v>
      </c>
      <c r="F29" s="45">
        <v>4540.4</v>
      </c>
      <c r="G29" s="45">
        <v>1199.2</v>
      </c>
      <c r="H29" s="45">
        <v>100.8</v>
      </c>
      <c r="I29" s="45"/>
      <c r="J29" s="45"/>
      <c r="K29" s="45">
        <v>1356.9</v>
      </c>
      <c r="L29" s="45">
        <v>1166.7</v>
      </c>
      <c r="M29" s="129" t="s">
        <v>125</v>
      </c>
      <c r="N29" s="45"/>
      <c r="O29" s="45">
        <v>4500</v>
      </c>
      <c r="P29" s="130">
        <v>550</v>
      </c>
      <c r="Q29" s="131">
        <v>50</v>
      </c>
      <c r="R29" s="131"/>
      <c r="S29" s="131">
        <v>1215.1</v>
      </c>
      <c r="T29" s="131">
        <v>5508</v>
      </c>
      <c r="U29" s="131"/>
      <c r="V29" s="132">
        <f t="shared" si="0"/>
        <v>45654.899999999994</v>
      </c>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row>
    <row r="30" spans="1:47" s="127" customFormat="1" ht="15.75">
      <c r="A30" s="129" t="s">
        <v>126</v>
      </c>
      <c r="B30" s="45">
        <v>302.6</v>
      </c>
      <c r="C30" s="130">
        <v>216.8</v>
      </c>
      <c r="D30" s="45">
        <v>28</v>
      </c>
      <c r="E30" s="45">
        <f t="shared" si="1"/>
        <v>102.1</v>
      </c>
      <c r="F30" s="45">
        <v>32.3</v>
      </c>
      <c r="G30" s="45">
        <v>19.6</v>
      </c>
      <c r="H30" s="45">
        <v>2.4</v>
      </c>
      <c r="I30" s="45"/>
      <c r="J30" s="45"/>
      <c r="K30" s="45">
        <v>47.8</v>
      </c>
      <c r="L30" s="45">
        <v>0</v>
      </c>
      <c r="M30" s="129" t="s">
        <v>126</v>
      </c>
      <c r="N30" s="45"/>
      <c r="O30" s="45"/>
      <c r="P30" s="130">
        <v>295</v>
      </c>
      <c r="Q30" s="131"/>
      <c r="R30" s="131"/>
      <c r="S30" s="131">
        <v>40.2</v>
      </c>
      <c r="T30" s="131">
        <v>150.4</v>
      </c>
      <c r="U30" s="131"/>
      <c r="V30" s="132">
        <f t="shared" si="0"/>
        <v>1135.1000000000001</v>
      </c>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row>
    <row r="31" spans="1:47" s="127" customFormat="1" ht="15.75">
      <c r="A31" s="129" t="s">
        <v>127</v>
      </c>
      <c r="B31" s="45">
        <v>977</v>
      </c>
      <c r="C31" s="130">
        <v>908.9</v>
      </c>
      <c r="D31" s="45">
        <v>249.7</v>
      </c>
      <c r="E31" s="45">
        <f t="shared" si="1"/>
        <v>461.9</v>
      </c>
      <c r="F31" s="45">
        <v>92.3</v>
      </c>
      <c r="G31" s="45">
        <v>97</v>
      </c>
      <c r="H31" s="45">
        <v>14.9</v>
      </c>
      <c r="I31" s="45"/>
      <c r="J31" s="45"/>
      <c r="K31" s="45">
        <v>257.7</v>
      </c>
      <c r="L31" s="45">
        <v>104</v>
      </c>
      <c r="M31" s="129" t="s">
        <v>127</v>
      </c>
      <c r="N31" s="45"/>
      <c r="O31" s="45">
        <v>700</v>
      </c>
      <c r="P31" s="130">
        <v>1955</v>
      </c>
      <c r="Q31" s="131">
        <v>1200</v>
      </c>
      <c r="R31" s="131"/>
      <c r="S31" s="131">
        <v>196.9</v>
      </c>
      <c r="T31" s="131">
        <v>694.4</v>
      </c>
      <c r="U31" s="131"/>
      <c r="V31" s="132">
        <f t="shared" si="0"/>
        <v>7447.799999999999</v>
      </c>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row>
    <row r="32" spans="1:47" s="127" customFormat="1" ht="15.75">
      <c r="A32" s="129" t="s">
        <v>128</v>
      </c>
      <c r="B32" s="45">
        <v>3222.5</v>
      </c>
      <c r="C32" s="130">
        <v>9723.4</v>
      </c>
      <c r="D32" s="45">
        <v>426.8</v>
      </c>
      <c r="E32" s="45">
        <f t="shared" si="1"/>
        <v>2103</v>
      </c>
      <c r="F32" s="45">
        <v>1354.9</v>
      </c>
      <c r="G32" s="45">
        <v>296</v>
      </c>
      <c r="H32" s="45">
        <v>33</v>
      </c>
      <c r="I32" s="45"/>
      <c r="J32" s="45"/>
      <c r="K32" s="45">
        <v>419.1</v>
      </c>
      <c r="L32" s="45">
        <v>369.4</v>
      </c>
      <c r="M32" s="129" t="s">
        <v>128</v>
      </c>
      <c r="N32" s="45"/>
      <c r="O32" s="45">
        <v>1500</v>
      </c>
      <c r="P32" s="130"/>
      <c r="Q32" s="131">
        <v>50</v>
      </c>
      <c r="R32" s="131">
        <v>1100</v>
      </c>
      <c r="S32" s="131">
        <v>865.6</v>
      </c>
      <c r="T32" s="131">
        <v>1334</v>
      </c>
      <c r="U32" s="131"/>
      <c r="V32" s="132">
        <f t="shared" si="0"/>
        <v>20694.699999999997</v>
      </c>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row>
    <row r="33" spans="1:47" s="127" customFormat="1" ht="15.75">
      <c r="A33" s="129" t="s">
        <v>129</v>
      </c>
      <c r="B33" s="45">
        <v>1838.7</v>
      </c>
      <c r="C33" s="130">
        <v>1166.1</v>
      </c>
      <c r="D33" s="45">
        <v>386</v>
      </c>
      <c r="E33" s="45">
        <f t="shared" si="1"/>
        <v>353.8</v>
      </c>
      <c r="F33" s="45">
        <v>100.9</v>
      </c>
      <c r="G33" s="45">
        <v>98.5</v>
      </c>
      <c r="H33" s="45">
        <v>5.2</v>
      </c>
      <c r="I33" s="45"/>
      <c r="J33" s="45"/>
      <c r="K33" s="45">
        <v>149.2</v>
      </c>
      <c r="L33" s="45">
        <v>127.5</v>
      </c>
      <c r="M33" s="129" t="s">
        <v>129</v>
      </c>
      <c r="N33" s="45"/>
      <c r="O33" s="45">
        <v>755</v>
      </c>
      <c r="P33" s="130">
        <v>800</v>
      </c>
      <c r="Q33" s="131">
        <v>300</v>
      </c>
      <c r="R33" s="131">
        <v>975.1</v>
      </c>
      <c r="S33" s="131">
        <v>529.3</v>
      </c>
      <c r="T33" s="131">
        <v>763</v>
      </c>
      <c r="U33" s="131"/>
      <c r="V33" s="132">
        <f t="shared" si="0"/>
        <v>7994.500000000001</v>
      </c>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row>
    <row r="34" spans="1:47" s="127" customFormat="1" ht="15.75">
      <c r="A34" s="129" t="s">
        <v>130</v>
      </c>
      <c r="B34" s="45">
        <v>2222.6</v>
      </c>
      <c r="C34" s="130">
        <v>1571.9</v>
      </c>
      <c r="D34" s="45">
        <v>442.2</v>
      </c>
      <c r="E34" s="45">
        <f t="shared" si="1"/>
        <v>607.8</v>
      </c>
      <c r="F34" s="45">
        <v>130.1</v>
      </c>
      <c r="G34" s="45">
        <v>93</v>
      </c>
      <c r="H34" s="45">
        <v>15.8</v>
      </c>
      <c r="I34" s="45"/>
      <c r="J34" s="45"/>
      <c r="K34" s="45">
        <v>368.9</v>
      </c>
      <c r="L34" s="45">
        <v>144</v>
      </c>
      <c r="M34" s="129" t="s">
        <v>130</v>
      </c>
      <c r="N34" s="45"/>
      <c r="O34" s="45">
        <v>500</v>
      </c>
      <c r="P34" s="130"/>
      <c r="Q34" s="131">
        <v>250</v>
      </c>
      <c r="R34" s="131">
        <v>4934</v>
      </c>
      <c r="S34" s="131">
        <v>314.3</v>
      </c>
      <c r="T34" s="131">
        <v>899.2</v>
      </c>
      <c r="U34" s="131"/>
      <c r="V34" s="132">
        <f t="shared" si="0"/>
        <v>11886</v>
      </c>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row>
    <row r="35" spans="1:47" s="127" customFormat="1" ht="15.75">
      <c r="A35" s="129" t="s">
        <v>131</v>
      </c>
      <c r="B35" s="45">
        <v>376.9</v>
      </c>
      <c r="C35" s="130">
        <v>946.4</v>
      </c>
      <c r="D35" s="45">
        <v>0</v>
      </c>
      <c r="E35" s="45">
        <f t="shared" si="1"/>
        <v>64.5</v>
      </c>
      <c r="F35" s="45">
        <v>21.3</v>
      </c>
      <c r="G35" s="45">
        <v>11</v>
      </c>
      <c r="H35" s="45">
        <v>0</v>
      </c>
      <c r="I35" s="45"/>
      <c r="J35" s="45"/>
      <c r="K35" s="45">
        <v>32.2</v>
      </c>
      <c r="L35" s="45">
        <v>6.8</v>
      </c>
      <c r="M35" s="129" t="s">
        <v>131</v>
      </c>
      <c r="N35" s="45"/>
      <c r="O35" s="45"/>
      <c r="P35" s="130">
        <v>150</v>
      </c>
      <c r="Q35" s="131"/>
      <c r="R35" s="131"/>
      <c r="S35" s="131">
        <v>419.4</v>
      </c>
      <c r="T35" s="131">
        <v>204.5</v>
      </c>
      <c r="U35" s="131"/>
      <c r="V35" s="132">
        <f t="shared" si="0"/>
        <v>2168.5</v>
      </c>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row>
    <row r="36" spans="1:47" s="127" customFormat="1" ht="15.75">
      <c r="A36" s="129" t="s">
        <v>132</v>
      </c>
      <c r="B36" s="45">
        <v>2454.3</v>
      </c>
      <c r="C36" s="130">
        <v>6642.4</v>
      </c>
      <c r="D36" s="45">
        <v>543</v>
      </c>
      <c r="E36" s="45">
        <f t="shared" si="1"/>
        <v>1517.6000000000001</v>
      </c>
      <c r="F36" s="45">
        <v>1021</v>
      </c>
      <c r="G36" s="45">
        <v>160.7</v>
      </c>
      <c r="H36" s="45">
        <v>2.9</v>
      </c>
      <c r="I36" s="45"/>
      <c r="J36" s="45"/>
      <c r="K36" s="45">
        <v>333</v>
      </c>
      <c r="L36" s="45">
        <v>142.2</v>
      </c>
      <c r="M36" s="129" t="s">
        <v>132</v>
      </c>
      <c r="N36" s="45"/>
      <c r="O36" s="45">
        <v>6050</v>
      </c>
      <c r="P36" s="130"/>
      <c r="Q36" s="131">
        <v>200</v>
      </c>
      <c r="R36" s="131">
        <v>350</v>
      </c>
      <c r="S36" s="131">
        <v>554.2</v>
      </c>
      <c r="T36" s="131">
        <v>1199</v>
      </c>
      <c r="U36" s="131"/>
      <c r="V36" s="132">
        <f t="shared" si="0"/>
        <v>19652.7</v>
      </c>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row>
    <row r="37" spans="1:47" s="127" customFormat="1" ht="15.75">
      <c r="A37" s="129" t="s">
        <v>133</v>
      </c>
      <c r="B37" s="45">
        <v>1571.3</v>
      </c>
      <c r="C37" s="130">
        <v>1673.5</v>
      </c>
      <c r="D37" s="45">
        <v>259.5</v>
      </c>
      <c r="E37" s="45">
        <f t="shared" si="1"/>
        <v>399.5</v>
      </c>
      <c r="F37" s="45">
        <v>102.7</v>
      </c>
      <c r="G37" s="45">
        <v>66.5</v>
      </c>
      <c r="H37" s="45">
        <v>36.6</v>
      </c>
      <c r="I37" s="45"/>
      <c r="J37" s="45"/>
      <c r="K37" s="45">
        <v>193.7</v>
      </c>
      <c r="L37" s="45">
        <v>79.7</v>
      </c>
      <c r="M37" s="129" t="s">
        <v>133</v>
      </c>
      <c r="N37" s="45"/>
      <c r="O37" s="45">
        <v>500</v>
      </c>
      <c r="P37" s="130">
        <v>250</v>
      </c>
      <c r="Q37" s="131">
        <v>200</v>
      </c>
      <c r="R37" s="131">
        <v>3126</v>
      </c>
      <c r="S37" s="131">
        <v>213.7</v>
      </c>
      <c r="T37" s="131">
        <v>755.7</v>
      </c>
      <c r="U37" s="131"/>
      <c r="V37" s="132">
        <f t="shared" si="0"/>
        <v>9028.900000000001</v>
      </c>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row>
    <row r="38" spans="1:47" s="127" customFormat="1" ht="15.75">
      <c r="A38" s="129" t="s">
        <v>134</v>
      </c>
      <c r="B38" s="45">
        <v>506.1</v>
      </c>
      <c r="C38" s="130">
        <v>1385.8</v>
      </c>
      <c r="D38" s="45">
        <v>324.1</v>
      </c>
      <c r="E38" s="45">
        <f t="shared" si="1"/>
        <v>1631.1999999999998</v>
      </c>
      <c r="F38" s="45">
        <v>57.3</v>
      </c>
      <c r="G38" s="45">
        <v>148.3</v>
      </c>
      <c r="H38" s="45">
        <v>12</v>
      </c>
      <c r="I38" s="45"/>
      <c r="J38" s="45">
        <v>1261</v>
      </c>
      <c r="K38" s="45">
        <v>152.6</v>
      </c>
      <c r="L38" s="45">
        <v>165.9</v>
      </c>
      <c r="M38" s="129" t="s">
        <v>134</v>
      </c>
      <c r="N38" s="45"/>
      <c r="O38" s="45">
        <v>375</v>
      </c>
      <c r="P38" s="130"/>
      <c r="Q38" s="131"/>
      <c r="R38" s="131"/>
      <c r="S38" s="131">
        <v>433</v>
      </c>
      <c r="T38" s="131">
        <v>376.5</v>
      </c>
      <c r="U38" s="131"/>
      <c r="V38" s="132">
        <f t="shared" si="0"/>
        <v>5197.6</v>
      </c>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row>
    <row r="39" spans="1:47" s="127" customFormat="1" ht="15.75">
      <c r="A39" s="129" t="s">
        <v>135</v>
      </c>
      <c r="B39" s="45">
        <v>1053.1</v>
      </c>
      <c r="C39" s="130">
        <v>645.2</v>
      </c>
      <c r="D39" s="45">
        <v>342</v>
      </c>
      <c r="E39" s="45">
        <f t="shared" si="1"/>
        <v>77.89999999999999</v>
      </c>
      <c r="F39" s="45">
        <v>24.2</v>
      </c>
      <c r="G39" s="45">
        <v>13.1</v>
      </c>
      <c r="H39" s="45">
        <v>3.7</v>
      </c>
      <c r="I39" s="45"/>
      <c r="J39" s="45"/>
      <c r="K39" s="45">
        <v>36.9</v>
      </c>
      <c r="L39" s="45">
        <v>34.4</v>
      </c>
      <c r="M39" s="129" t="s">
        <v>135</v>
      </c>
      <c r="N39" s="45"/>
      <c r="O39" s="45"/>
      <c r="P39" s="130"/>
      <c r="Q39" s="131"/>
      <c r="R39" s="131"/>
      <c r="S39" s="131">
        <v>108.7</v>
      </c>
      <c r="T39" s="131">
        <v>282.6</v>
      </c>
      <c r="U39" s="131"/>
      <c r="V39" s="132">
        <f t="shared" si="0"/>
        <v>2543.8999999999996</v>
      </c>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row>
    <row r="40" spans="1:47" s="127" customFormat="1" ht="15.75">
      <c r="A40" s="129" t="s">
        <v>136</v>
      </c>
      <c r="B40" s="45">
        <v>2253.4</v>
      </c>
      <c r="C40" s="130">
        <v>3631.1</v>
      </c>
      <c r="D40" s="45">
        <v>783.6</v>
      </c>
      <c r="E40" s="45">
        <f t="shared" si="1"/>
        <v>275.09999999999997</v>
      </c>
      <c r="F40" s="45">
        <v>55.3</v>
      </c>
      <c r="G40" s="45">
        <v>119.9</v>
      </c>
      <c r="H40" s="45">
        <v>14.9</v>
      </c>
      <c r="I40" s="45"/>
      <c r="J40" s="45"/>
      <c r="K40" s="45">
        <v>85</v>
      </c>
      <c r="L40" s="45">
        <v>132.3</v>
      </c>
      <c r="M40" s="129" t="s">
        <v>136</v>
      </c>
      <c r="N40" s="45"/>
      <c r="O40" s="45">
        <v>190</v>
      </c>
      <c r="P40" s="130">
        <v>455</v>
      </c>
      <c r="Q40" s="131"/>
      <c r="R40" s="131"/>
      <c r="S40" s="131">
        <v>230.4</v>
      </c>
      <c r="T40" s="131">
        <v>533.1</v>
      </c>
      <c r="U40" s="131"/>
      <c r="V40" s="132">
        <f t="shared" si="0"/>
        <v>8484</v>
      </c>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row>
    <row r="41" spans="1:47" s="127" customFormat="1" ht="15.75">
      <c r="A41" s="129" t="s">
        <v>137</v>
      </c>
      <c r="B41" s="45">
        <v>1376.5</v>
      </c>
      <c r="C41" s="130">
        <v>2388.4</v>
      </c>
      <c r="D41" s="45">
        <v>687</v>
      </c>
      <c r="E41" s="45">
        <f t="shared" si="1"/>
        <v>255</v>
      </c>
      <c r="F41" s="45">
        <v>61.7</v>
      </c>
      <c r="G41" s="45">
        <v>59.3</v>
      </c>
      <c r="H41" s="45">
        <v>6.6</v>
      </c>
      <c r="I41" s="45"/>
      <c r="J41" s="45"/>
      <c r="K41" s="45">
        <v>127.4</v>
      </c>
      <c r="L41" s="45">
        <v>74</v>
      </c>
      <c r="M41" s="129" t="s">
        <v>137</v>
      </c>
      <c r="N41" s="45"/>
      <c r="O41" s="45">
        <v>745</v>
      </c>
      <c r="P41" s="130">
        <v>875</v>
      </c>
      <c r="Q41" s="131">
        <v>800</v>
      </c>
      <c r="R41" s="131">
        <v>1890</v>
      </c>
      <c r="S41" s="131">
        <v>573.7</v>
      </c>
      <c r="T41" s="131">
        <v>719.4</v>
      </c>
      <c r="U41" s="131"/>
      <c r="V41" s="132">
        <f t="shared" si="0"/>
        <v>10384</v>
      </c>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7" s="127" customFormat="1" ht="15.75">
      <c r="A42" s="129" t="s">
        <v>138</v>
      </c>
      <c r="B42" s="45">
        <v>1965.4</v>
      </c>
      <c r="C42" s="130">
        <v>760.1</v>
      </c>
      <c r="D42" s="45">
        <v>1289</v>
      </c>
      <c r="E42" s="45">
        <f t="shared" si="1"/>
        <v>288.3</v>
      </c>
      <c r="F42" s="45">
        <v>55.4</v>
      </c>
      <c r="G42" s="45">
        <v>86.4</v>
      </c>
      <c r="H42" s="45">
        <v>28</v>
      </c>
      <c r="I42" s="45"/>
      <c r="J42" s="45"/>
      <c r="K42" s="45">
        <v>118.5</v>
      </c>
      <c r="L42" s="45">
        <v>98.1</v>
      </c>
      <c r="M42" s="129" t="s">
        <v>138</v>
      </c>
      <c r="N42" s="45"/>
      <c r="O42" s="45">
        <v>375</v>
      </c>
      <c r="P42" s="130"/>
      <c r="Q42" s="131"/>
      <c r="R42" s="131"/>
      <c r="S42" s="131">
        <v>365.4</v>
      </c>
      <c r="T42" s="131">
        <v>553.8</v>
      </c>
      <c r="U42" s="131"/>
      <c r="V42" s="132">
        <f t="shared" si="0"/>
        <v>5695.1</v>
      </c>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7" s="127" customFormat="1" ht="15.75">
      <c r="A43" s="129" t="s">
        <v>139</v>
      </c>
      <c r="B43" s="45">
        <v>2010.2</v>
      </c>
      <c r="C43" s="130">
        <v>3580.4</v>
      </c>
      <c r="D43" s="45">
        <v>1528.6</v>
      </c>
      <c r="E43" s="45">
        <f t="shared" si="1"/>
        <v>597.2</v>
      </c>
      <c r="F43" s="45">
        <v>99.2</v>
      </c>
      <c r="G43" s="45">
        <v>74.9</v>
      </c>
      <c r="H43" s="45">
        <v>24.1</v>
      </c>
      <c r="I43" s="45"/>
      <c r="J43" s="45"/>
      <c r="K43" s="45">
        <v>399</v>
      </c>
      <c r="L43" s="45">
        <v>40.4</v>
      </c>
      <c r="M43" s="129" t="s">
        <v>139</v>
      </c>
      <c r="N43" s="45"/>
      <c r="O43" s="45">
        <v>1900</v>
      </c>
      <c r="P43" s="130">
        <v>1062</v>
      </c>
      <c r="Q43" s="131"/>
      <c r="R43" s="131">
        <v>1200</v>
      </c>
      <c r="S43" s="131">
        <v>234</v>
      </c>
      <c r="T43" s="131">
        <v>992</v>
      </c>
      <c r="U43" s="131"/>
      <c r="V43" s="132">
        <f t="shared" si="0"/>
        <v>13144.8</v>
      </c>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7" s="127" customFormat="1" ht="15.75">
      <c r="A44" s="129" t="s">
        <v>140</v>
      </c>
      <c r="B44" s="45">
        <v>788.5</v>
      </c>
      <c r="C44" s="130">
        <v>1615.1</v>
      </c>
      <c r="D44" s="45">
        <v>361</v>
      </c>
      <c r="E44" s="45">
        <f t="shared" si="1"/>
        <v>158.8</v>
      </c>
      <c r="F44" s="45">
        <v>33.9</v>
      </c>
      <c r="G44" s="45">
        <v>43.9</v>
      </c>
      <c r="H44" s="45">
        <v>23.9</v>
      </c>
      <c r="I44" s="45"/>
      <c r="J44" s="45"/>
      <c r="K44" s="45">
        <v>57.1</v>
      </c>
      <c r="L44" s="45">
        <v>49.2</v>
      </c>
      <c r="M44" s="129" t="s">
        <v>140</v>
      </c>
      <c r="N44" s="45"/>
      <c r="O44" s="45">
        <v>400</v>
      </c>
      <c r="P44" s="130"/>
      <c r="Q44" s="131"/>
      <c r="R44" s="131"/>
      <c r="S44" s="131">
        <v>397.7</v>
      </c>
      <c r="T44" s="131">
        <v>336.8</v>
      </c>
      <c r="U44" s="131"/>
      <c r="V44" s="132">
        <f t="shared" si="0"/>
        <v>4107.099999999999</v>
      </c>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7" s="127" customFormat="1" ht="15.75">
      <c r="A45" s="129" t="s">
        <v>141</v>
      </c>
      <c r="B45" s="45">
        <v>523.5</v>
      </c>
      <c r="C45" s="130">
        <v>178.8</v>
      </c>
      <c r="D45" s="45">
        <v>527.6</v>
      </c>
      <c r="E45" s="45">
        <f t="shared" si="1"/>
        <v>88.89999999999999</v>
      </c>
      <c r="F45" s="45">
        <v>25.2</v>
      </c>
      <c r="G45" s="45">
        <v>11.4</v>
      </c>
      <c r="H45" s="45">
        <v>3.3</v>
      </c>
      <c r="I45" s="45"/>
      <c r="J45" s="45"/>
      <c r="K45" s="45">
        <v>49</v>
      </c>
      <c r="L45" s="45">
        <v>9.8</v>
      </c>
      <c r="M45" s="129" t="s">
        <v>141</v>
      </c>
      <c r="N45" s="45"/>
      <c r="O45" s="45">
        <v>200</v>
      </c>
      <c r="P45" s="130"/>
      <c r="Q45" s="131"/>
      <c r="R45" s="131"/>
      <c r="S45" s="131">
        <v>111.3</v>
      </c>
      <c r="T45" s="131">
        <v>197.1</v>
      </c>
      <c r="U45" s="131"/>
      <c r="V45" s="132">
        <f t="shared" si="0"/>
        <v>1837</v>
      </c>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7" s="127" customFormat="1" ht="15.75">
      <c r="A46" s="129" t="s">
        <v>142</v>
      </c>
      <c r="B46" s="45">
        <v>773.3</v>
      </c>
      <c r="C46" s="130">
        <v>1285.1</v>
      </c>
      <c r="D46" s="45">
        <v>305.6</v>
      </c>
      <c r="E46" s="45">
        <f t="shared" si="1"/>
        <v>112.5</v>
      </c>
      <c r="F46" s="45">
        <v>24.4</v>
      </c>
      <c r="G46" s="45">
        <v>15.8</v>
      </c>
      <c r="H46" s="45">
        <v>0</v>
      </c>
      <c r="I46" s="45"/>
      <c r="J46" s="45"/>
      <c r="K46" s="45">
        <v>72.3</v>
      </c>
      <c r="L46" s="45">
        <v>13.6</v>
      </c>
      <c r="M46" s="129" t="s">
        <v>142</v>
      </c>
      <c r="N46" s="45"/>
      <c r="O46" s="45">
        <v>480</v>
      </c>
      <c r="P46" s="130">
        <v>1040</v>
      </c>
      <c r="Q46" s="131"/>
      <c r="R46" s="131"/>
      <c r="S46" s="131">
        <v>993.4</v>
      </c>
      <c r="T46" s="131">
        <v>268.6</v>
      </c>
      <c r="U46" s="131"/>
      <c r="V46" s="132">
        <f t="shared" si="0"/>
        <v>5272.099999999999</v>
      </c>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7" s="127" customFormat="1" ht="15.75">
      <c r="A47" s="129" t="s">
        <v>143</v>
      </c>
      <c r="B47" s="45">
        <v>647.6</v>
      </c>
      <c r="C47" s="130">
        <v>283</v>
      </c>
      <c r="D47" s="45">
        <v>667.6</v>
      </c>
      <c r="E47" s="45">
        <f t="shared" si="1"/>
        <v>135.2</v>
      </c>
      <c r="F47" s="45">
        <v>39.5</v>
      </c>
      <c r="G47" s="45">
        <v>21</v>
      </c>
      <c r="H47" s="45">
        <v>5</v>
      </c>
      <c r="I47" s="45"/>
      <c r="J47" s="45"/>
      <c r="K47" s="45">
        <v>69.7</v>
      </c>
      <c r="L47" s="45">
        <v>18.6</v>
      </c>
      <c r="M47" s="129" t="s">
        <v>143</v>
      </c>
      <c r="N47" s="45"/>
      <c r="O47" s="45">
        <v>250</v>
      </c>
      <c r="P47" s="130"/>
      <c r="Q47" s="131"/>
      <c r="R47" s="131"/>
      <c r="S47" s="131">
        <v>231.8</v>
      </c>
      <c r="T47" s="131">
        <v>310.8</v>
      </c>
      <c r="U47" s="131"/>
      <c r="V47" s="132">
        <f t="shared" si="0"/>
        <v>2544.6000000000004</v>
      </c>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7" s="127" customFormat="1" ht="15.75">
      <c r="A48" s="129" t="s">
        <v>144</v>
      </c>
      <c r="B48" s="45">
        <v>2174.6</v>
      </c>
      <c r="C48" s="130">
        <v>3432.4</v>
      </c>
      <c r="D48" s="45">
        <v>866.8</v>
      </c>
      <c r="E48" s="45">
        <f t="shared" si="1"/>
        <v>579.5</v>
      </c>
      <c r="F48" s="45">
        <v>116.1</v>
      </c>
      <c r="G48" s="45">
        <v>115.4</v>
      </c>
      <c r="H48" s="45">
        <v>13.9</v>
      </c>
      <c r="I48" s="45"/>
      <c r="J48" s="45"/>
      <c r="K48" s="45">
        <v>334.1</v>
      </c>
      <c r="L48" s="45">
        <v>163</v>
      </c>
      <c r="M48" s="129" t="s">
        <v>144</v>
      </c>
      <c r="N48" s="45"/>
      <c r="O48" s="45">
        <v>375</v>
      </c>
      <c r="P48" s="130"/>
      <c r="Q48" s="131"/>
      <c r="R48" s="131"/>
      <c r="S48" s="131">
        <v>1277.8</v>
      </c>
      <c r="T48" s="131">
        <v>1345</v>
      </c>
      <c r="U48" s="131"/>
      <c r="V48" s="132">
        <f t="shared" si="0"/>
        <v>10214.1</v>
      </c>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s="127" customFormat="1" ht="15.75">
      <c r="A49" s="129" t="s">
        <v>145</v>
      </c>
      <c r="B49" s="45">
        <v>1125.6</v>
      </c>
      <c r="C49" s="130">
        <v>1692.5</v>
      </c>
      <c r="D49" s="45">
        <v>417.5</v>
      </c>
      <c r="E49" s="45">
        <f t="shared" si="1"/>
        <v>166.9</v>
      </c>
      <c r="F49" s="45">
        <v>36.2</v>
      </c>
      <c r="G49" s="45">
        <v>50.4</v>
      </c>
      <c r="H49" s="45">
        <v>0.4</v>
      </c>
      <c r="I49" s="45"/>
      <c r="J49" s="45"/>
      <c r="K49" s="45">
        <v>79.9</v>
      </c>
      <c r="L49" s="45">
        <v>61.4</v>
      </c>
      <c r="M49" s="129" t="s">
        <v>145</v>
      </c>
      <c r="N49" s="45"/>
      <c r="O49" s="45">
        <v>495</v>
      </c>
      <c r="P49" s="130">
        <v>380</v>
      </c>
      <c r="Q49" s="131"/>
      <c r="R49" s="131">
        <v>127</v>
      </c>
      <c r="S49" s="131">
        <v>586.6</v>
      </c>
      <c r="T49" s="131">
        <v>532</v>
      </c>
      <c r="U49" s="131"/>
      <c r="V49" s="132">
        <f t="shared" si="0"/>
        <v>5584.5</v>
      </c>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s="127" customFormat="1" ht="15.75">
      <c r="A50" s="129" t="s">
        <v>146</v>
      </c>
      <c r="B50" s="45">
        <v>520.8</v>
      </c>
      <c r="C50" s="130">
        <v>1588</v>
      </c>
      <c r="D50" s="45">
        <v>426.4</v>
      </c>
      <c r="E50" s="45">
        <f t="shared" si="1"/>
        <v>201.39999999999998</v>
      </c>
      <c r="F50" s="45">
        <v>28.8</v>
      </c>
      <c r="G50" s="45">
        <v>50</v>
      </c>
      <c r="H50" s="45">
        <v>26.2</v>
      </c>
      <c r="I50" s="45"/>
      <c r="J50" s="45"/>
      <c r="K50" s="45">
        <v>96.4</v>
      </c>
      <c r="L50" s="45">
        <v>64</v>
      </c>
      <c r="M50" s="129" t="s">
        <v>146</v>
      </c>
      <c r="N50" s="45"/>
      <c r="O50" s="45">
        <v>550</v>
      </c>
      <c r="P50" s="130"/>
      <c r="Q50" s="131">
        <v>700</v>
      </c>
      <c r="R50" s="131"/>
      <c r="S50" s="131">
        <v>23.2</v>
      </c>
      <c r="T50" s="131">
        <v>331.2</v>
      </c>
      <c r="U50" s="131"/>
      <c r="V50" s="132">
        <f t="shared" si="0"/>
        <v>4405</v>
      </c>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s="127" customFormat="1" ht="15.75">
      <c r="A51" s="129" t="s">
        <v>147</v>
      </c>
      <c r="B51" s="45">
        <v>695.2</v>
      </c>
      <c r="C51" s="130">
        <v>744</v>
      </c>
      <c r="D51" s="45">
        <v>1265.3</v>
      </c>
      <c r="E51" s="45">
        <f t="shared" si="1"/>
        <v>151.6</v>
      </c>
      <c r="F51" s="45">
        <v>43.8</v>
      </c>
      <c r="G51" s="45">
        <v>11.9</v>
      </c>
      <c r="H51" s="45">
        <v>3.4</v>
      </c>
      <c r="I51" s="45"/>
      <c r="J51" s="45"/>
      <c r="K51" s="45">
        <v>92.5</v>
      </c>
      <c r="L51" s="45">
        <v>18.6</v>
      </c>
      <c r="M51" s="129" t="s">
        <v>147</v>
      </c>
      <c r="N51" s="45"/>
      <c r="O51" s="45"/>
      <c r="P51" s="130"/>
      <c r="Q51" s="131"/>
      <c r="R51" s="131"/>
      <c r="S51" s="131">
        <v>146.8</v>
      </c>
      <c r="T51" s="131">
        <v>405.4</v>
      </c>
      <c r="U51" s="131"/>
      <c r="V51" s="132">
        <f t="shared" si="0"/>
        <v>3426.9</v>
      </c>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s="127" customFormat="1" ht="15.75">
      <c r="A52" s="129" t="s">
        <v>148</v>
      </c>
      <c r="B52" s="45">
        <v>1921.1</v>
      </c>
      <c r="C52" s="130">
        <v>2296.5</v>
      </c>
      <c r="D52" s="45">
        <v>688.2</v>
      </c>
      <c r="E52" s="45">
        <f t="shared" si="1"/>
        <v>328.3</v>
      </c>
      <c r="F52" s="45">
        <v>58.5</v>
      </c>
      <c r="G52" s="45">
        <v>96.6</v>
      </c>
      <c r="H52" s="45">
        <v>24.7</v>
      </c>
      <c r="I52" s="45"/>
      <c r="J52" s="45"/>
      <c r="K52" s="45">
        <v>148.5</v>
      </c>
      <c r="L52" s="45">
        <v>132.2</v>
      </c>
      <c r="M52" s="129" t="s">
        <v>148</v>
      </c>
      <c r="N52" s="45"/>
      <c r="O52" s="45">
        <v>350</v>
      </c>
      <c r="P52" s="130">
        <v>660</v>
      </c>
      <c r="Q52" s="131"/>
      <c r="R52" s="131"/>
      <c r="S52" s="131">
        <v>50</v>
      </c>
      <c r="T52" s="131">
        <v>609</v>
      </c>
      <c r="U52" s="131"/>
      <c r="V52" s="132">
        <f t="shared" si="0"/>
        <v>7035.3</v>
      </c>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row r="53" spans="1:47" s="127" customFormat="1" ht="15.75">
      <c r="A53" s="129" t="s">
        <v>149</v>
      </c>
      <c r="B53" s="45">
        <v>946.7</v>
      </c>
      <c r="C53" s="130">
        <v>434.1</v>
      </c>
      <c r="D53" s="45">
        <v>805.9</v>
      </c>
      <c r="E53" s="45">
        <f t="shared" si="1"/>
        <v>161.3</v>
      </c>
      <c r="F53" s="45">
        <v>37.8</v>
      </c>
      <c r="G53" s="45">
        <v>40.2</v>
      </c>
      <c r="H53" s="45">
        <v>14.4</v>
      </c>
      <c r="I53" s="45"/>
      <c r="J53" s="45"/>
      <c r="K53" s="45">
        <v>68.9</v>
      </c>
      <c r="L53" s="45">
        <v>48.5</v>
      </c>
      <c r="M53" s="129" t="s">
        <v>149</v>
      </c>
      <c r="N53" s="45"/>
      <c r="O53" s="45">
        <v>465</v>
      </c>
      <c r="P53" s="130">
        <v>380</v>
      </c>
      <c r="Q53" s="131"/>
      <c r="R53" s="131">
        <v>1570.5</v>
      </c>
      <c r="S53" s="131">
        <v>254.7</v>
      </c>
      <c r="T53" s="131">
        <v>393.6</v>
      </c>
      <c r="U53" s="131"/>
      <c r="V53" s="132">
        <f t="shared" si="0"/>
        <v>5460.3</v>
      </c>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row>
    <row r="54" spans="1:47" s="127" customFormat="1" ht="15.75">
      <c r="A54" s="129" t="s">
        <v>150</v>
      </c>
      <c r="B54" s="45">
        <v>646.5</v>
      </c>
      <c r="C54" s="130">
        <v>253.8</v>
      </c>
      <c r="D54" s="45">
        <v>267.1</v>
      </c>
      <c r="E54" s="45">
        <f t="shared" si="1"/>
        <v>103.1</v>
      </c>
      <c r="F54" s="45">
        <v>29</v>
      </c>
      <c r="G54" s="45">
        <v>14.4</v>
      </c>
      <c r="H54" s="45">
        <v>0.1</v>
      </c>
      <c r="I54" s="45"/>
      <c r="J54" s="45"/>
      <c r="K54" s="45">
        <v>59.6</v>
      </c>
      <c r="L54" s="45">
        <v>18.8</v>
      </c>
      <c r="M54" s="129" t="s">
        <v>150</v>
      </c>
      <c r="N54" s="45"/>
      <c r="O54" s="45">
        <v>300</v>
      </c>
      <c r="P54" s="130">
        <v>1680</v>
      </c>
      <c r="Q54" s="131"/>
      <c r="R54" s="131"/>
      <c r="S54" s="131">
        <v>908.3</v>
      </c>
      <c r="T54" s="131">
        <v>296</v>
      </c>
      <c r="U54" s="131"/>
      <c r="V54" s="132">
        <f t="shared" si="0"/>
        <v>4473.6</v>
      </c>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row>
    <row r="55" spans="1:47" s="127" customFormat="1" ht="15.75">
      <c r="A55" s="129" t="s">
        <v>151</v>
      </c>
      <c r="B55" s="45">
        <v>602.3</v>
      </c>
      <c r="C55" s="130">
        <v>867.9</v>
      </c>
      <c r="D55" s="45">
        <v>431.4</v>
      </c>
      <c r="E55" s="45">
        <f>F55+G55+I55+J55+K55+H55</f>
        <v>213.9</v>
      </c>
      <c r="F55" s="45">
        <v>34.1</v>
      </c>
      <c r="G55" s="45">
        <v>26.8</v>
      </c>
      <c r="H55" s="45">
        <v>5.2</v>
      </c>
      <c r="I55" s="45"/>
      <c r="J55" s="45"/>
      <c r="K55" s="45">
        <v>147.8</v>
      </c>
      <c r="L55" s="45">
        <v>38</v>
      </c>
      <c r="M55" s="129" t="s">
        <v>151</v>
      </c>
      <c r="N55" s="45"/>
      <c r="O55" s="45"/>
      <c r="P55" s="130">
        <v>155</v>
      </c>
      <c r="Q55" s="131"/>
      <c r="R55" s="131">
        <v>143.3</v>
      </c>
      <c r="S55" s="131">
        <v>310.2</v>
      </c>
      <c r="T55" s="131">
        <v>237.5</v>
      </c>
      <c r="U55" s="131"/>
      <c r="V55" s="132">
        <f t="shared" si="0"/>
        <v>2999.5</v>
      </c>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row>
    <row r="56" spans="1:47" s="127" customFormat="1" ht="16.5" thickBot="1">
      <c r="A56" s="133" t="s">
        <v>152</v>
      </c>
      <c r="B56" s="134"/>
      <c r="C56" s="135"/>
      <c r="D56" s="134"/>
      <c r="E56" s="134"/>
      <c r="F56" s="134"/>
      <c r="G56" s="134"/>
      <c r="H56" s="134"/>
      <c r="I56" s="134"/>
      <c r="J56" s="134"/>
      <c r="K56" s="134"/>
      <c r="L56" s="134"/>
      <c r="M56" s="133" t="s">
        <v>152</v>
      </c>
      <c r="N56" s="134">
        <v>8802.6</v>
      </c>
      <c r="O56" s="134">
        <v>1650</v>
      </c>
      <c r="P56" s="135"/>
      <c r="Q56" s="136">
        <v>36400</v>
      </c>
      <c r="R56" s="136">
        <v>3500</v>
      </c>
      <c r="S56" s="136">
        <v>7736.1</v>
      </c>
      <c r="T56" s="136">
        <v>10031.6</v>
      </c>
      <c r="U56" s="136">
        <v>1482.5</v>
      </c>
      <c r="V56" s="137">
        <f t="shared" si="0"/>
        <v>69602.8</v>
      </c>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s="142" customFormat="1" ht="18" customHeight="1" thickBot="1">
      <c r="A57" s="138" t="s">
        <v>153</v>
      </c>
      <c r="B57" s="139">
        <f>SUM(B11:B56)</f>
        <v>93935.50000000003</v>
      </c>
      <c r="C57" s="140">
        <f aca="true" t="shared" si="2" ref="C57:N57">SUM(C11:C56)</f>
        <v>195260.99999999994</v>
      </c>
      <c r="D57" s="139">
        <f t="shared" si="2"/>
        <v>21042.200000000008</v>
      </c>
      <c r="E57" s="139">
        <f t="shared" si="2"/>
        <v>65374.00000000002</v>
      </c>
      <c r="F57" s="139">
        <f t="shared" si="2"/>
        <v>37478.90000000001</v>
      </c>
      <c r="G57" s="139">
        <f t="shared" si="2"/>
        <v>8903.699999999997</v>
      </c>
      <c r="H57" s="139">
        <f t="shared" si="2"/>
        <v>1317.4000000000003</v>
      </c>
      <c r="I57" s="139">
        <f t="shared" si="2"/>
        <v>339.8</v>
      </c>
      <c r="J57" s="139">
        <f t="shared" si="2"/>
        <v>2004</v>
      </c>
      <c r="K57" s="139">
        <f t="shared" si="2"/>
        <v>15330.2</v>
      </c>
      <c r="L57" s="139">
        <f t="shared" si="2"/>
        <v>9037.8</v>
      </c>
      <c r="M57" s="138" t="s">
        <v>153</v>
      </c>
      <c r="N57" s="139">
        <f t="shared" si="2"/>
        <v>8802.6</v>
      </c>
      <c r="O57" s="139">
        <f>SUM(O11:O56)</f>
        <v>43616</v>
      </c>
      <c r="P57" s="139">
        <f>SUM(P11:P56)</f>
        <v>33441</v>
      </c>
      <c r="Q57" s="141">
        <f aca="true" t="shared" si="3" ref="Q57:V57">SUM(Q11:Q56)</f>
        <v>42200</v>
      </c>
      <c r="R57" s="141">
        <f t="shared" si="3"/>
        <v>30000</v>
      </c>
      <c r="S57" s="141">
        <f>SUM(S11:S56)</f>
        <v>29135.299999999996</v>
      </c>
      <c r="T57" s="141">
        <f>SUM(T11:T56)</f>
        <v>57812.399999999994</v>
      </c>
      <c r="U57" s="141">
        <f t="shared" si="3"/>
        <v>1482.5</v>
      </c>
      <c r="V57" s="141">
        <f t="shared" si="3"/>
        <v>631140.3</v>
      </c>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9:47" ht="15.75">
      <c r="S58" s="143"/>
      <c r="T58" s="143"/>
      <c r="U58" s="143"/>
      <c r="V58" s="144"/>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9:47" ht="15.75">
      <c r="S59" s="143"/>
      <c r="T59" s="143"/>
      <c r="U59" s="143"/>
      <c r="V59" s="144"/>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row>
    <row r="60" spans="19:47" ht="15.75">
      <c r="S60" s="143"/>
      <c r="T60" s="143"/>
      <c r="U60" s="143"/>
      <c r="V60" s="144"/>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9:47" ht="15.75">
      <c r="S61" s="143"/>
      <c r="T61" s="143"/>
      <c r="U61" s="143"/>
      <c r="V61" s="144"/>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9:47" ht="15.75">
      <c r="S62" s="143"/>
      <c r="T62" s="143"/>
      <c r="U62" s="143"/>
      <c r="V62" s="144"/>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9:47" ht="15.75">
      <c r="S63" s="143"/>
      <c r="T63" s="143"/>
      <c r="U63" s="143"/>
      <c r="V63" s="144"/>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9:47" ht="15.75">
      <c r="S64" s="143"/>
      <c r="T64" s="143"/>
      <c r="U64" s="143"/>
      <c r="V64" s="144"/>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9:47" ht="15.75">
      <c r="S65" s="143"/>
      <c r="T65" s="143"/>
      <c r="U65" s="143"/>
      <c r="V65" s="144"/>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9:47" ht="15.75">
      <c r="S66" s="143"/>
      <c r="T66" s="143"/>
      <c r="U66" s="143"/>
      <c r="V66" s="144"/>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9:47" ht="15.75">
      <c r="S67" s="143"/>
      <c r="T67" s="143"/>
      <c r="U67" s="143"/>
      <c r="V67" s="144"/>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9:47" ht="15.75">
      <c r="S68" s="143"/>
      <c r="T68" s="143"/>
      <c r="U68" s="143"/>
      <c r="V68" s="144"/>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9:47" ht="15.75">
      <c r="S69" s="143"/>
      <c r="T69" s="143"/>
      <c r="U69" s="143"/>
      <c r="V69" s="144"/>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row r="70" spans="19:47" ht="15.75">
      <c r="S70" s="143"/>
      <c r="T70" s="143"/>
      <c r="U70" s="143"/>
      <c r="V70" s="144"/>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row>
    <row r="71" spans="19:47" ht="15.75">
      <c r="S71" s="143"/>
      <c r="T71" s="143"/>
      <c r="U71" s="143"/>
      <c r="V71" s="144"/>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row>
    <row r="72" spans="19:47" ht="15.75">
      <c r="S72" s="143"/>
      <c r="T72" s="143"/>
      <c r="U72" s="143"/>
      <c r="V72" s="144"/>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row>
    <row r="73" spans="19:47" ht="15.75">
      <c r="S73" s="143"/>
      <c r="T73" s="143"/>
      <c r="U73" s="143"/>
      <c r="V73" s="144"/>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row>
    <row r="74" spans="19:47" ht="15.75">
      <c r="S74" s="143"/>
      <c r="T74" s="143"/>
      <c r="U74" s="143"/>
      <c r="V74" s="144"/>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row>
    <row r="75" spans="19:47" ht="15.75">
      <c r="S75" s="143"/>
      <c r="T75" s="143"/>
      <c r="U75" s="143"/>
      <c r="V75" s="144"/>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row>
    <row r="76" spans="19:47" ht="15.75">
      <c r="S76" s="143"/>
      <c r="T76" s="143"/>
      <c r="U76" s="143"/>
      <c r="V76" s="144"/>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row>
    <row r="77" spans="19:47" ht="15.75">
      <c r="S77" s="143"/>
      <c r="T77" s="143"/>
      <c r="U77" s="143"/>
      <c r="V77" s="144"/>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row>
    <row r="78" spans="19:47" ht="15.75">
      <c r="S78" s="143"/>
      <c r="T78" s="143"/>
      <c r="U78" s="143"/>
      <c r="V78" s="144"/>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row>
    <row r="79" spans="19:47" ht="15.75">
      <c r="S79" s="143"/>
      <c r="T79" s="143"/>
      <c r="U79" s="143"/>
      <c r="V79" s="144"/>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row>
    <row r="80" spans="19:47" ht="15.75">
      <c r="S80" s="143"/>
      <c r="T80" s="143"/>
      <c r="U80" s="143"/>
      <c r="V80" s="144"/>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row>
    <row r="81" spans="19:47" ht="15.75">
      <c r="S81" s="143"/>
      <c r="T81" s="143"/>
      <c r="U81" s="143"/>
      <c r="V81" s="144"/>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row>
    <row r="82" spans="19:47" ht="15.75">
      <c r="S82" s="143"/>
      <c r="T82" s="143"/>
      <c r="U82" s="143"/>
      <c r="V82" s="144"/>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row>
    <row r="83" spans="19:47" ht="15.75">
      <c r="S83" s="143"/>
      <c r="T83" s="143"/>
      <c r="U83" s="143"/>
      <c r="V83" s="144"/>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row>
    <row r="84" spans="19:47" ht="15.75">
      <c r="S84" s="143"/>
      <c r="T84" s="143"/>
      <c r="U84" s="143"/>
      <c r="V84" s="144"/>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row>
    <row r="85" spans="19:47" ht="15.75">
      <c r="S85" s="143"/>
      <c r="T85" s="143"/>
      <c r="U85" s="143"/>
      <c r="V85" s="144"/>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row>
    <row r="86" spans="19:47" ht="15.75">
      <c r="S86" s="143"/>
      <c r="T86" s="143"/>
      <c r="U86" s="143"/>
      <c r="V86" s="144"/>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row>
    <row r="87" spans="19:47" ht="15.75">
      <c r="S87" s="143"/>
      <c r="T87" s="143"/>
      <c r="U87" s="143"/>
      <c r="V87" s="144"/>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row>
    <row r="88" spans="19:47" ht="15.75">
      <c r="S88" s="143"/>
      <c r="T88" s="143"/>
      <c r="U88" s="143"/>
      <c r="V88" s="144"/>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row>
    <row r="89" spans="19:47" ht="15.75">
      <c r="S89" s="143"/>
      <c r="T89" s="143"/>
      <c r="U89" s="143"/>
      <c r="V89" s="144"/>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row>
    <row r="90" spans="19:47" ht="15.75">
      <c r="S90" s="143"/>
      <c r="T90" s="143"/>
      <c r="U90" s="143"/>
      <c r="V90" s="144"/>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row>
    <row r="91" spans="19:47" ht="15.75">
      <c r="S91" s="143"/>
      <c r="T91" s="143"/>
      <c r="U91" s="143"/>
      <c r="V91" s="144"/>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row>
    <row r="92" spans="19:47" ht="15.75">
      <c r="S92" s="143"/>
      <c r="T92" s="143"/>
      <c r="U92" s="143"/>
      <c r="V92" s="144"/>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row>
    <row r="93" spans="19:47" ht="15.75">
      <c r="S93" s="143"/>
      <c r="T93" s="143"/>
      <c r="U93" s="143"/>
      <c r="V93" s="144"/>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row>
    <row r="94" spans="19:47" ht="15.75">
      <c r="S94" s="143"/>
      <c r="T94" s="143"/>
      <c r="U94" s="143"/>
      <c r="V94" s="144"/>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row>
    <row r="95" spans="19:47" ht="15.75">
      <c r="S95" s="143"/>
      <c r="T95" s="143"/>
      <c r="U95" s="143"/>
      <c r="V95" s="144"/>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row>
    <row r="96" spans="19:47" ht="15.75">
      <c r="S96" s="143"/>
      <c r="T96" s="143"/>
      <c r="U96" s="143"/>
      <c r="V96" s="144"/>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row>
    <row r="97" spans="19:47" ht="15.75">
      <c r="S97" s="143"/>
      <c r="T97" s="143"/>
      <c r="U97" s="143"/>
      <c r="V97" s="144"/>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row>
    <row r="98" spans="19:47" ht="15.75">
      <c r="S98" s="143"/>
      <c r="T98" s="143"/>
      <c r="U98" s="143"/>
      <c r="V98" s="144"/>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row>
    <row r="99" spans="19:47" ht="15.75">
      <c r="S99" s="143"/>
      <c r="T99" s="143"/>
      <c r="U99" s="143"/>
      <c r="V99" s="144"/>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row>
    <row r="100" spans="19:47" ht="15.75">
      <c r="S100" s="143"/>
      <c r="T100" s="143"/>
      <c r="U100" s="143"/>
      <c r="V100" s="144"/>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row>
    <row r="101" spans="19:47" ht="15.75">
      <c r="S101" s="143"/>
      <c r="T101" s="143"/>
      <c r="U101" s="143"/>
      <c r="V101" s="144"/>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row>
    <row r="102" spans="19:47" ht="15.75">
      <c r="S102" s="143"/>
      <c r="T102" s="143"/>
      <c r="U102" s="143"/>
      <c r="V102" s="144"/>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row>
    <row r="103" spans="19:47" ht="15.75">
      <c r="S103" s="143"/>
      <c r="T103" s="143"/>
      <c r="U103" s="143"/>
      <c r="V103" s="144"/>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row>
    <row r="104" spans="19:47" ht="15.75">
      <c r="S104" s="143"/>
      <c r="T104" s="143"/>
      <c r="U104" s="143"/>
      <c r="V104" s="144"/>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row>
    <row r="105" spans="19:47" ht="15.75">
      <c r="S105" s="143"/>
      <c r="T105" s="143"/>
      <c r="U105" s="143"/>
      <c r="V105" s="144"/>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row>
    <row r="106" spans="19:47" ht="15.75">
      <c r="S106" s="143"/>
      <c r="T106" s="143"/>
      <c r="U106" s="143"/>
      <c r="V106" s="144"/>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row>
    <row r="107" spans="19:47" ht="15.75">
      <c r="S107" s="143"/>
      <c r="T107" s="143"/>
      <c r="U107" s="143"/>
      <c r="V107" s="144"/>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row>
    <row r="108" spans="19:47" ht="15.75">
      <c r="S108" s="143"/>
      <c r="T108" s="143"/>
      <c r="U108" s="143"/>
      <c r="V108" s="144"/>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row>
    <row r="109" spans="19:47" ht="15.75">
      <c r="S109" s="143"/>
      <c r="T109" s="143"/>
      <c r="U109" s="143"/>
      <c r="V109" s="144"/>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row>
    <row r="110" spans="19:47" ht="15.75">
      <c r="S110" s="143"/>
      <c r="T110" s="143"/>
      <c r="U110" s="143"/>
      <c r="V110" s="144"/>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row>
    <row r="111" spans="19:47" ht="15.75">
      <c r="S111" s="143"/>
      <c r="T111" s="143"/>
      <c r="U111" s="143"/>
      <c r="V111" s="144"/>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row>
    <row r="112" spans="19:47" ht="15.75">
      <c r="S112" s="143"/>
      <c r="T112" s="143"/>
      <c r="U112" s="143"/>
      <c r="V112" s="144"/>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row>
    <row r="113" spans="19:47" ht="15.75">
      <c r="S113" s="143"/>
      <c r="T113" s="143"/>
      <c r="U113" s="143"/>
      <c r="V113" s="144"/>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row>
    <row r="114" spans="19:47" ht="15.75">
      <c r="S114" s="143"/>
      <c r="T114" s="143"/>
      <c r="U114" s="143"/>
      <c r="V114" s="144"/>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row>
    <row r="115" spans="19:47" ht="15.75">
      <c r="S115" s="143"/>
      <c r="T115" s="143"/>
      <c r="U115" s="143"/>
      <c r="V115" s="144"/>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row>
    <row r="116" spans="19:47" ht="15.75">
      <c r="S116" s="143"/>
      <c r="T116" s="143"/>
      <c r="U116" s="143"/>
      <c r="V116" s="144"/>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row>
    <row r="117" spans="19:47" ht="15.75">
      <c r="S117" s="143"/>
      <c r="T117" s="143"/>
      <c r="U117" s="143"/>
      <c r="V117" s="144"/>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row>
    <row r="118" spans="19:47" ht="15.75">
      <c r="S118" s="143"/>
      <c r="T118" s="143"/>
      <c r="U118" s="143"/>
      <c r="V118" s="144"/>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row>
    <row r="119" spans="19:47" ht="15.75">
      <c r="S119" s="143"/>
      <c r="T119" s="143"/>
      <c r="U119" s="143"/>
      <c r="V119" s="144"/>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row>
    <row r="120" spans="19:47" ht="15.75">
      <c r="S120" s="143"/>
      <c r="T120" s="143"/>
      <c r="U120" s="143"/>
      <c r="V120" s="144"/>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row>
    <row r="121" spans="19:47" ht="15.75">
      <c r="S121" s="143"/>
      <c r="T121" s="143"/>
      <c r="U121" s="143"/>
      <c r="V121" s="144"/>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row>
    <row r="122" spans="19:47" ht="15.75">
      <c r="S122" s="143"/>
      <c r="T122" s="143"/>
      <c r="U122" s="143"/>
      <c r="V122" s="144"/>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row>
    <row r="123" spans="19:47" ht="15.75">
      <c r="S123" s="143"/>
      <c r="T123" s="143"/>
      <c r="U123" s="143"/>
      <c r="V123" s="144"/>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row>
    <row r="124" spans="19:47" ht="15.75">
      <c r="S124" s="143"/>
      <c r="T124" s="143"/>
      <c r="U124" s="143"/>
      <c r="V124" s="144"/>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row>
    <row r="125" spans="19:47" ht="15.75">
      <c r="S125" s="143"/>
      <c r="T125" s="143"/>
      <c r="U125" s="143"/>
      <c r="V125" s="144"/>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row>
    <row r="126" spans="19:47" ht="15.75">
      <c r="S126" s="143"/>
      <c r="T126" s="143"/>
      <c r="U126" s="143"/>
      <c r="V126" s="144"/>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row>
    <row r="127" spans="19:47" ht="15.75">
      <c r="S127" s="143"/>
      <c r="T127" s="143"/>
      <c r="U127" s="143"/>
      <c r="V127" s="144"/>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row>
    <row r="128" spans="19:47" ht="15.75">
      <c r="S128" s="143"/>
      <c r="T128" s="143"/>
      <c r="U128" s="143"/>
      <c r="V128" s="144"/>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row>
    <row r="129" spans="19:47" ht="15.75">
      <c r="S129" s="143"/>
      <c r="T129" s="143"/>
      <c r="U129" s="143"/>
      <c r="V129" s="144"/>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row>
    <row r="130" spans="19:47" ht="15.75">
      <c r="S130" s="143"/>
      <c r="T130" s="143"/>
      <c r="U130" s="143"/>
      <c r="V130" s="144"/>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row>
    <row r="131" spans="19:47" ht="15.75">
      <c r="S131" s="143"/>
      <c r="T131" s="143"/>
      <c r="U131" s="143"/>
      <c r="V131" s="144"/>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row>
    <row r="132" spans="19:47" ht="15.75">
      <c r="S132" s="143"/>
      <c r="T132" s="143"/>
      <c r="U132" s="143"/>
      <c r="V132" s="144"/>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row>
    <row r="133" spans="19:47" ht="15.75">
      <c r="S133" s="143"/>
      <c r="T133" s="143"/>
      <c r="U133" s="143"/>
      <c r="V133" s="144"/>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row>
    <row r="134" spans="19:47" ht="15.75">
      <c r="S134" s="143"/>
      <c r="T134" s="143"/>
      <c r="U134" s="143"/>
      <c r="V134" s="144"/>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row>
    <row r="135" spans="19:47" ht="15.75">
      <c r="S135" s="143"/>
      <c r="T135" s="143"/>
      <c r="U135" s="143"/>
      <c r="V135" s="144"/>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row>
    <row r="136" spans="19:47" ht="15.75">
      <c r="S136" s="143"/>
      <c r="T136" s="143"/>
      <c r="U136" s="143"/>
      <c r="V136" s="144"/>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row>
    <row r="137" spans="19:47" ht="15.75">
      <c r="S137" s="143"/>
      <c r="T137" s="143"/>
      <c r="U137" s="143"/>
      <c r="V137" s="144"/>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row>
    <row r="138" spans="19:47" ht="15.75">
      <c r="S138" s="143"/>
      <c r="T138" s="143"/>
      <c r="U138" s="143"/>
      <c r="V138" s="144"/>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row>
    <row r="139" spans="19:47" ht="15.75">
      <c r="S139" s="143"/>
      <c r="T139" s="143"/>
      <c r="U139" s="143"/>
      <c r="V139" s="144"/>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row>
    <row r="140" spans="19:47" ht="15.75">
      <c r="S140" s="143"/>
      <c r="T140" s="143"/>
      <c r="U140" s="143"/>
      <c r="V140" s="144"/>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row>
    <row r="141" spans="19:47" ht="15.75">
      <c r="S141" s="143"/>
      <c r="T141" s="143"/>
      <c r="U141" s="143"/>
      <c r="V141" s="144"/>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row>
    <row r="142" spans="19:47" ht="15.75">
      <c r="S142" s="143"/>
      <c r="T142" s="143"/>
      <c r="U142" s="143"/>
      <c r="V142" s="144"/>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row>
    <row r="143" spans="19:47" ht="15.75">
      <c r="S143" s="143"/>
      <c r="T143" s="143"/>
      <c r="U143" s="143"/>
      <c r="V143" s="144"/>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row>
    <row r="144" spans="19:47" ht="15.75">
      <c r="S144" s="143"/>
      <c r="T144" s="143"/>
      <c r="U144" s="143"/>
      <c r="V144" s="144"/>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row>
    <row r="145" spans="19:47" ht="15.75">
      <c r="S145" s="143"/>
      <c r="T145" s="143"/>
      <c r="U145" s="143"/>
      <c r="V145" s="144"/>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row>
    <row r="146" spans="19:47" ht="15.75">
      <c r="S146" s="143"/>
      <c r="T146" s="143"/>
      <c r="U146" s="143"/>
      <c r="V146" s="144"/>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row>
    <row r="147" spans="19:47" ht="15.75">
      <c r="S147" s="143"/>
      <c r="T147" s="143"/>
      <c r="U147" s="143"/>
      <c r="V147" s="144"/>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row>
    <row r="148" spans="19:47" ht="15.75">
      <c r="S148" s="143"/>
      <c r="T148" s="143"/>
      <c r="U148" s="143"/>
      <c r="V148" s="144"/>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row>
    <row r="149" spans="19:47" ht="15.75">
      <c r="S149" s="143"/>
      <c r="T149" s="143"/>
      <c r="U149" s="143"/>
      <c r="V149" s="144"/>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row>
    <row r="150" spans="19:47" ht="15.75">
      <c r="S150" s="143"/>
      <c r="T150" s="143"/>
      <c r="U150" s="143"/>
      <c r="V150" s="144"/>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row>
    <row r="151" spans="19:47" ht="15.75">
      <c r="S151" s="143"/>
      <c r="T151" s="143"/>
      <c r="U151" s="143"/>
      <c r="V151" s="144"/>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row>
    <row r="152" spans="19:47" ht="15.75">
      <c r="S152" s="143"/>
      <c r="T152" s="143"/>
      <c r="U152" s="143"/>
      <c r="V152" s="144"/>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row>
    <row r="153" spans="19:47" ht="15.75">
      <c r="S153" s="143"/>
      <c r="T153" s="143"/>
      <c r="U153" s="143"/>
      <c r="V153" s="144"/>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row>
    <row r="154" spans="19:47" ht="15.75">
      <c r="S154" s="143"/>
      <c r="T154" s="143"/>
      <c r="U154" s="143"/>
      <c r="V154" s="144"/>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row>
    <row r="155" spans="19:47" ht="15.75">
      <c r="S155" s="143"/>
      <c r="T155" s="143"/>
      <c r="U155" s="143"/>
      <c r="V155" s="144"/>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row>
    <row r="156" spans="19:47" ht="15.75">
      <c r="S156" s="143"/>
      <c r="T156" s="143"/>
      <c r="U156" s="143"/>
      <c r="V156" s="144"/>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row>
    <row r="157" spans="19:47" ht="15.75">
      <c r="S157" s="143"/>
      <c r="T157" s="143"/>
      <c r="U157" s="143"/>
      <c r="V157" s="144"/>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row>
    <row r="158" spans="19:47" ht="15.75">
      <c r="S158" s="143"/>
      <c r="T158" s="143"/>
      <c r="U158" s="143"/>
      <c r="V158" s="144"/>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row>
    <row r="159" spans="19:47" ht="15.75">
      <c r="S159" s="143"/>
      <c r="T159" s="143"/>
      <c r="U159" s="143"/>
      <c r="V159" s="144"/>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row>
    <row r="160" spans="19:47" ht="15.75">
      <c r="S160" s="143"/>
      <c r="T160" s="143"/>
      <c r="U160" s="143"/>
      <c r="V160" s="144"/>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row>
    <row r="161" spans="19:47" ht="15.75">
      <c r="S161" s="143"/>
      <c r="T161" s="143"/>
      <c r="U161" s="143"/>
      <c r="V161" s="144"/>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row>
    <row r="162" spans="19:47" ht="15.75">
      <c r="S162" s="143"/>
      <c r="T162" s="143"/>
      <c r="U162" s="143"/>
      <c r="V162" s="144"/>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row>
    <row r="163" spans="19:47" ht="15.75">
      <c r="S163" s="143"/>
      <c r="T163" s="143"/>
      <c r="U163" s="143"/>
      <c r="V163" s="144"/>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row>
    <row r="164" spans="19:47" ht="15.75">
      <c r="S164" s="143"/>
      <c r="T164" s="143"/>
      <c r="U164" s="143"/>
      <c r="V164" s="144"/>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row>
    <row r="165" spans="19:47" ht="15.75">
      <c r="S165" s="143"/>
      <c r="T165" s="143"/>
      <c r="U165" s="143"/>
      <c r="V165" s="144"/>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row>
    <row r="166" spans="19:47" ht="15.75">
      <c r="S166" s="143"/>
      <c r="T166" s="143"/>
      <c r="U166" s="143"/>
      <c r="V166" s="144"/>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row>
    <row r="167" spans="19:47" ht="15.75">
      <c r="S167" s="143"/>
      <c r="T167" s="143"/>
      <c r="U167" s="143"/>
      <c r="V167" s="144"/>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row>
    <row r="168" spans="19:47" ht="15.75">
      <c r="S168" s="143"/>
      <c r="T168" s="143"/>
      <c r="U168" s="143"/>
      <c r="V168" s="144"/>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row>
    <row r="169" spans="19:47" ht="15.75">
      <c r="S169" s="143"/>
      <c r="T169" s="143"/>
      <c r="U169" s="143"/>
      <c r="V169" s="144"/>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row>
    <row r="170" spans="19:47" ht="15.75">
      <c r="S170" s="143"/>
      <c r="T170" s="143"/>
      <c r="U170" s="143"/>
      <c r="V170" s="144"/>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row>
    <row r="171" spans="19:47" ht="15.75">
      <c r="S171" s="143"/>
      <c r="T171" s="143"/>
      <c r="U171" s="143"/>
      <c r="V171" s="144"/>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row>
    <row r="172" spans="19:47" ht="15.75">
      <c r="S172" s="143"/>
      <c r="T172" s="143"/>
      <c r="U172" s="143"/>
      <c r="V172" s="144"/>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row>
    <row r="173" spans="19:47" ht="15.75">
      <c r="S173" s="143"/>
      <c r="T173" s="143"/>
      <c r="U173" s="143"/>
      <c r="V173" s="144"/>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row>
    <row r="174" spans="19:47" ht="15.75">
      <c r="S174" s="143"/>
      <c r="T174" s="143"/>
      <c r="U174" s="143"/>
      <c r="V174" s="144"/>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row>
    <row r="175" spans="19:47" ht="15.75">
      <c r="S175" s="143"/>
      <c r="T175" s="143"/>
      <c r="U175" s="143"/>
      <c r="V175" s="144"/>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row>
    <row r="176" spans="19:47" ht="15.75">
      <c r="S176" s="143"/>
      <c r="T176" s="143"/>
      <c r="U176" s="143"/>
      <c r="V176" s="144"/>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row>
    <row r="177" spans="19:47" ht="15.75">
      <c r="S177" s="143"/>
      <c r="T177" s="143"/>
      <c r="U177" s="143"/>
      <c r="V177" s="144"/>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row>
    <row r="178" spans="19:47" ht="15.75">
      <c r="S178" s="143"/>
      <c r="T178" s="143"/>
      <c r="U178" s="143"/>
      <c r="V178" s="144"/>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row>
    <row r="179" spans="19:47" ht="15.75">
      <c r="S179" s="143"/>
      <c r="T179" s="143"/>
      <c r="U179" s="143"/>
      <c r="V179" s="144"/>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row>
    <row r="180" spans="19:47" ht="15.75">
      <c r="S180" s="143"/>
      <c r="T180" s="143"/>
      <c r="U180" s="143"/>
      <c r="V180" s="144"/>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row>
    <row r="181" spans="19:47" ht="15.75">
      <c r="S181" s="143"/>
      <c r="T181" s="143"/>
      <c r="U181" s="143"/>
      <c r="V181" s="144"/>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row>
    <row r="182" spans="19:47" ht="15.75">
      <c r="S182" s="143"/>
      <c r="T182" s="143"/>
      <c r="U182" s="143"/>
      <c r="V182" s="144"/>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row>
    <row r="183" spans="19:47" ht="15.75">
      <c r="S183" s="143"/>
      <c r="T183" s="143"/>
      <c r="U183" s="143"/>
      <c r="V183" s="144"/>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row>
    <row r="184" spans="19:47" ht="15.75">
      <c r="S184" s="143"/>
      <c r="T184" s="143"/>
      <c r="U184" s="143"/>
      <c r="V184" s="144"/>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row>
    <row r="185" spans="19:47" ht="15.75">
      <c r="S185" s="143"/>
      <c r="T185" s="143"/>
      <c r="U185" s="143"/>
      <c r="V185" s="144"/>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row>
    <row r="186" spans="19:47" ht="15.75">
      <c r="S186" s="143"/>
      <c r="T186" s="143"/>
      <c r="U186" s="143"/>
      <c r="V186" s="144"/>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row>
  </sheetData>
  <mergeCells count="25">
    <mergeCell ref="A7:A10"/>
    <mergeCell ref="I9:J9"/>
    <mergeCell ref="K9:K10"/>
    <mergeCell ref="H9:H10"/>
    <mergeCell ref="F9:F10"/>
    <mergeCell ref="G9:G10"/>
    <mergeCell ref="B8:B10"/>
    <mergeCell ref="D8:D10"/>
    <mergeCell ref="E8:E10"/>
    <mergeCell ref="B4:J5"/>
    <mergeCell ref="B7:K7"/>
    <mergeCell ref="L7:L10"/>
    <mergeCell ref="N7:U7"/>
    <mergeCell ref="O8:O10"/>
    <mergeCell ref="M7:M10"/>
    <mergeCell ref="V7:V10"/>
    <mergeCell ref="C8:C9"/>
    <mergeCell ref="F8:K8"/>
    <mergeCell ref="N8:N10"/>
    <mergeCell ref="P8:P10"/>
    <mergeCell ref="Q8:Q10"/>
    <mergeCell ref="R8:R10"/>
    <mergeCell ref="S8:S10"/>
    <mergeCell ref="T8:T10"/>
    <mergeCell ref="U8:U10"/>
  </mergeCells>
  <printOptions/>
  <pageMargins left="0.49" right="0.2" top="0.29" bottom="0.22" header="0.2" footer="0.23"/>
  <pageSetup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G11"/>
  <sheetViews>
    <sheetView view="pageBreakPreview" zoomScale="60" workbookViewId="0" topLeftCell="A1">
      <selection activeCell="F8" sqref="F8"/>
    </sheetView>
  </sheetViews>
  <sheetFormatPr defaultColWidth="9.00390625" defaultRowHeight="12.75"/>
  <cols>
    <col min="1" max="1" width="32.25390625" style="202" customWidth="1"/>
    <col min="2" max="2" width="35.625" style="202" customWidth="1"/>
    <col min="3" max="3" width="17.00390625" style="202" customWidth="1"/>
    <col min="4" max="4" width="9.25390625" style="202" customWidth="1"/>
    <col min="5" max="16384" width="8.875" style="202" customWidth="1"/>
  </cols>
  <sheetData>
    <row r="1" spans="3:5" ht="12.75" customHeight="1">
      <c r="C1" s="5" t="s">
        <v>422</v>
      </c>
      <c r="E1" s="5"/>
    </row>
    <row r="2" spans="3:5" ht="12.75">
      <c r="C2" s="3" t="s">
        <v>100</v>
      </c>
      <c r="E2" s="3"/>
    </row>
    <row r="3" spans="3:5" ht="12.75">
      <c r="C3" s="5" t="s">
        <v>305</v>
      </c>
      <c r="E3" s="5"/>
    </row>
    <row r="4" spans="4:5" ht="12.75">
      <c r="D4" s="5"/>
      <c r="E4" s="5"/>
    </row>
    <row r="5" spans="1:7" ht="33.75" customHeight="1">
      <c r="A5" s="415" t="s">
        <v>413</v>
      </c>
      <c r="B5" s="415"/>
      <c r="C5" s="415"/>
      <c r="F5" s="203"/>
      <c r="G5" s="203"/>
    </row>
    <row r="7" spans="1:3" ht="39.75" customHeight="1">
      <c r="A7" s="204" t="s">
        <v>207</v>
      </c>
      <c r="B7" s="204" t="s">
        <v>414</v>
      </c>
      <c r="C7" s="205" t="s">
        <v>415</v>
      </c>
    </row>
    <row r="8" spans="1:3" ht="38.25">
      <c r="A8" s="206" t="s">
        <v>416</v>
      </c>
      <c r="B8" s="207" t="s">
        <v>417</v>
      </c>
      <c r="C8" s="208">
        <v>200</v>
      </c>
    </row>
    <row r="9" spans="1:3" ht="15" customHeight="1">
      <c r="A9" s="209" t="s">
        <v>418</v>
      </c>
      <c r="B9" s="210" t="s">
        <v>419</v>
      </c>
      <c r="C9" s="64">
        <f>380+450</f>
        <v>830</v>
      </c>
    </row>
    <row r="10" spans="1:3" ht="15" customHeight="1" thickBot="1">
      <c r="A10" s="209" t="s">
        <v>420</v>
      </c>
      <c r="B10" s="210" t="s">
        <v>419</v>
      </c>
      <c r="C10" s="64">
        <v>760</v>
      </c>
    </row>
    <row r="11" spans="1:3" ht="15" customHeight="1" thickBot="1">
      <c r="A11" s="416" t="s">
        <v>421</v>
      </c>
      <c r="B11" s="417"/>
      <c r="C11" s="211">
        <f>SUM(C8:C10)</f>
        <v>1790</v>
      </c>
    </row>
  </sheetData>
  <mergeCells count="2">
    <mergeCell ref="A5:C5"/>
    <mergeCell ref="A11:B11"/>
  </mergeCells>
  <printOptions/>
  <pageMargins left="0.65" right="0.75" top="1" bottom="1" header="0.5" footer="0.5"/>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P75"/>
  <sheetViews>
    <sheetView zoomScale="75" zoomScaleNormal="75" workbookViewId="0" topLeftCell="A35">
      <selection activeCell="M40" sqref="M40"/>
    </sheetView>
  </sheetViews>
  <sheetFormatPr defaultColWidth="9.00390625" defaultRowHeight="12.75"/>
  <cols>
    <col min="1" max="1" width="8.875" style="212" customWidth="1"/>
    <col min="2" max="2" width="38.25390625" style="212" customWidth="1"/>
    <col min="3" max="3" width="32.25390625" style="212" customWidth="1"/>
    <col min="4" max="4" width="24.375" style="212" customWidth="1"/>
    <col min="5" max="5" width="25.125" style="212" customWidth="1"/>
    <col min="6" max="6" width="22.375" style="212" customWidth="1"/>
    <col min="7" max="7" width="14.625" style="212" customWidth="1"/>
    <col min="8" max="8" width="19.25390625" style="212" customWidth="1"/>
    <col min="9" max="9" width="21.00390625" style="212" customWidth="1"/>
    <col min="10" max="10" width="19.00390625" style="212" customWidth="1"/>
    <col min="11" max="15" width="9.125" style="212" customWidth="1"/>
    <col min="16" max="16" width="3.00390625" style="212" customWidth="1"/>
    <col min="17" max="16384" width="8.875" style="212" customWidth="1"/>
  </cols>
  <sheetData>
    <row r="1" ht="12.75">
      <c r="I1" s="5" t="s">
        <v>2</v>
      </c>
    </row>
    <row r="2" ht="12.75">
      <c r="I2" s="3" t="s">
        <v>100</v>
      </c>
    </row>
    <row r="3" ht="12.75">
      <c r="I3" s="5" t="s">
        <v>305</v>
      </c>
    </row>
    <row r="4" spans="2:16" ht="20.25">
      <c r="B4" s="421" t="s">
        <v>423</v>
      </c>
      <c r="C4" s="421"/>
      <c r="D4" s="421"/>
      <c r="E4" s="421"/>
      <c r="F4" s="421"/>
      <c r="G4" s="421"/>
      <c r="H4" s="421"/>
      <c r="I4" s="213"/>
      <c r="J4" s="213"/>
      <c r="K4" s="214"/>
      <c r="L4" s="214"/>
      <c r="M4" s="214"/>
      <c r="N4" s="214"/>
      <c r="O4" s="214"/>
      <c r="P4" s="214"/>
    </row>
    <row r="5" spans="2:16" ht="21.75" customHeight="1">
      <c r="B5" s="422" t="s">
        <v>424</v>
      </c>
      <c r="C5" s="422"/>
      <c r="D5" s="422"/>
      <c r="E5" s="422"/>
      <c r="F5" s="422"/>
      <c r="G5" s="422"/>
      <c r="H5" s="422"/>
      <c r="I5" s="215"/>
      <c r="J5" s="215"/>
      <c r="K5" s="216"/>
      <c r="L5" s="216"/>
      <c r="M5" s="216"/>
      <c r="N5" s="216"/>
      <c r="O5" s="216"/>
      <c r="P5" s="216"/>
    </row>
    <row r="6" spans="2:16" ht="16.5" thickBot="1">
      <c r="B6" s="217"/>
      <c r="C6" s="217"/>
      <c r="D6" s="217"/>
      <c r="E6" s="217"/>
      <c r="F6" s="217"/>
      <c r="G6" s="217"/>
      <c r="H6" s="217"/>
      <c r="I6" s="217"/>
      <c r="J6" s="217"/>
      <c r="K6" s="217"/>
      <c r="L6" s="217"/>
      <c r="M6" s="217"/>
      <c r="N6" s="217"/>
      <c r="O6" s="217"/>
      <c r="P6" s="217"/>
    </row>
    <row r="7" spans="1:13" ht="36" customHeight="1" thickBot="1">
      <c r="A7" s="418" t="s">
        <v>403</v>
      </c>
      <c r="B7" s="423" t="s">
        <v>425</v>
      </c>
      <c r="C7" s="425" t="s">
        <v>426</v>
      </c>
      <c r="D7" s="425" t="s">
        <v>427</v>
      </c>
      <c r="E7" s="425" t="s">
        <v>428</v>
      </c>
      <c r="F7" s="425" t="s">
        <v>429</v>
      </c>
      <c r="G7" s="425" t="s">
        <v>430</v>
      </c>
      <c r="H7" s="425" t="s">
        <v>431</v>
      </c>
      <c r="I7" s="427" t="s">
        <v>432</v>
      </c>
      <c r="J7" s="428"/>
      <c r="M7" s="218"/>
    </row>
    <row r="8" spans="1:13" ht="78.75" customHeight="1" thickBot="1">
      <c r="A8" s="419"/>
      <c r="B8" s="424"/>
      <c r="C8" s="426"/>
      <c r="D8" s="426"/>
      <c r="E8" s="426"/>
      <c r="F8" s="426"/>
      <c r="G8" s="426"/>
      <c r="H8" s="426"/>
      <c r="I8" s="219" t="s">
        <v>433</v>
      </c>
      <c r="J8" s="220" t="s">
        <v>434</v>
      </c>
      <c r="M8" s="218"/>
    </row>
    <row r="9" spans="1:10" s="224" customFormat="1" ht="15" thickBot="1">
      <c r="A9" s="268">
        <v>1</v>
      </c>
      <c r="B9" s="221">
        <v>2</v>
      </c>
      <c r="C9" s="221">
        <v>3</v>
      </c>
      <c r="D9" s="221">
        <v>4</v>
      </c>
      <c r="E9" s="222">
        <v>5</v>
      </c>
      <c r="F9" s="221">
        <v>6</v>
      </c>
      <c r="G9" s="223">
        <v>7</v>
      </c>
      <c r="H9" s="223">
        <v>8</v>
      </c>
      <c r="I9" s="221">
        <v>9</v>
      </c>
      <c r="J9" s="268">
        <v>10</v>
      </c>
    </row>
    <row r="10" spans="1:10" s="228" customFormat="1" ht="47.25" customHeight="1">
      <c r="A10" s="309">
        <v>250342</v>
      </c>
      <c r="B10" s="269" t="s">
        <v>475</v>
      </c>
      <c r="C10" s="225" t="s">
        <v>435</v>
      </c>
      <c r="D10" s="226" t="s">
        <v>436</v>
      </c>
      <c r="E10" s="227" t="s">
        <v>437</v>
      </c>
      <c r="F10" s="284">
        <v>3000</v>
      </c>
      <c r="G10" s="227" t="s">
        <v>438</v>
      </c>
      <c r="H10" s="227" t="s">
        <v>439</v>
      </c>
      <c r="I10" s="285">
        <f>SUM(I12:I29)</f>
        <v>3000</v>
      </c>
      <c r="J10" s="286"/>
    </row>
    <row r="11" spans="1:10" s="228" customFormat="1" ht="13.5" customHeight="1">
      <c r="A11" s="310"/>
      <c r="B11" s="270" t="s">
        <v>440</v>
      </c>
      <c r="C11" s="229"/>
      <c r="D11" s="230"/>
      <c r="E11" s="231"/>
      <c r="F11" s="287"/>
      <c r="G11" s="231"/>
      <c r="H11" s="231"/>
      <c r="I11" s="288"/>
      <c r="J11" s="289"/>
    </row>
    <row r="12" spans="1:10" s="233" customFormat="1" ht="15.75">
      <c r="A12" s="311"/>
      <c r="B12" s="271" t="s">
        <v>109</v>
      </c>
      <c r="C12" s="232" t="s">
        <v>441</v>
      </c>
      <c r="D12" s="232" t="s">
        <v>441</v>
      </c>
      <c r="E12" s="232" t="s">
        <v>442</v>
      </c>
      <c r="F12" s="290">
        <v>50</v>
      </c>
      <c r="G12" s="232" t="s">
        <v>441</v>
      </c>
      <c r="H12" s="232" t="s">
        <v>441</v>
      </c>
      <c r="I12" s="290">
        <v>50</v>
      </c>
      <c r="J12" s="291"/>
    </row>
    <row r="13" spans="1:10" s="233" customFormat="1" ht="15.75">
      <c r="A13" s="311"/>
      <c r="B13" s="271" t="s">
        <v>110</v>
      </c>
      <c r="C13" s="232" t="s">
        <v>441</v>
      </c>
      <c r="D13" s="232" t="s">
        <v>441</v>
      </c>
      <c r="E13" s="232" t="s">
        <v>442</v>
      </c>
      <c r="F13" s="290">
        <v>350</v>
      </c>
      <c r="G13" s="232" t="s">
        <v>441</v>
      </c>
      <c r="H13" s="232" t="s">
        <v>441</v>
      </c>
      <c r="I13" s="290">
        <v>350</v>
      </c>
      <c r="J13" s="291"/>
    </row>
    <row r="14" spans="1:10" s="233" customFormat="1" ht="15.75">
      <c r="A14" s="311"/>
      <c r="B14" s="271" t="s">
        <v>112</v>
      </c>
      <c r="C14" s="232" t="s">
        <v>441</v>
      </c>
      <c r="D14" s="232" t="s">
        <v>441</v>
      </c>
      <c r="E14" s="232" t="s">
        <v>442</v>
      </c>
      <c r="F14" s="290">
        <v>200</v>
      </c>
      <c r="G14" s="232" t="s">
        <v>441</v>
      </c>
      <c r="H14" s="232" t="s">
        <v>441</v>
      </c>
      <c r="I14" s="290">
        <v>200</v>
      </c>
      <c r="J14" s="291"/>
    </row>
    <row r="15" spans="1:10" s="233" customFormat="1" ht="15.75">
      <c r="A15" s="311"/>
      <c r="B15" s="271" t="s">
        <v>114</v>
      </c>
      <c r="C15" s="232" t="s">
        <v>441</v>
      </c>
      <c r="D15" s="232" t="s">
        <v>441</v>
      </c>
      <c r="E15" s="232" t="s">
        <v>442</v>
      </c>
      <c r="F15" s="290">
        <v>50</v>
      </c>
      <c r="G15" s="232" t="s">
        <v>441</v>
      </c>
      <c r="H15" s="232" t="s">
        <v>441</v>
      </c>
      <c r="I15" s="290">
        <v>50</v>
      </c>
      <c r="J15" s="291"/>
    </row>
    <row r="16" spans="1:10" s="233" customFormat="1" ht="15.75">
      <c r="A16" s="311"/>
      <c r="B16" s="271" t="s">
        <v>116</v>
      </c>
      <c r="C16" s="232" t="s">
        <v>441</v>
      </c>
      <c r="D16" s="232" t="s">
        <v>441</v>
      </c>
      <c r="E16" s="232" t="s">
        <v>442</v>
      </c>
      <c r="F16" s="290">
        <v>50</v>
      </c>
      <c r="G16" s="232" t="s">
        <v>441</v>
      </c>
      <c r="H16" s="232" t="s">
        <v>441</v>
      </c>
      <c r="I16" s="290">
        <v>50</v>
      </c>
      <c r="J16" s="291"/>
    </row>
    <row r="17" spans="1:10" s="233" customFormat="1" ht="15.75">
      <c r="A17" s="311"/>
      <c r="B17" s="271" t="s">
        <v>117</v>
      </c>
      <c r="C17" s="232" t="s">
        <v>441</v>
      </c>
      <c r="D17" s="232" t="s">
        <v>441</v>
      </c>
      <c r="E17" s="232" t="s">
        <v>442</v>
      </c>
      <c r="F17" s="290">
        <v>150</v>
      </c>
      <c r="G17" s="232" t="s">
        <v>441</v>
      </c>
      <c r="H17" s="232" t="s">
        <v>441</v>
      </c>
      <c r="I17" s="290">
        <v>150</v>
      </c>
      <c r="J17" s="291"/>
    </row>
    <row r="18" spans="1:10" s="233" customFormat="1" ht="15.75">
      <c r="A18" s="311"/>
      <c r="B18" s="271" t="s">
        <v>118</v>
      </c>
      <c r="C18" s="232" t="s">
        <v>441</v>
      </c>
      <c r="D18" s="232" t="s">
        <v>441</v>
      </c>
      <c r="E18" s="232" t="s">
        <v>442</v>
      </c>
      <c r="F18" s="290">
        <v>200</v>
      </c>
      <c r="G18" s="232" t="s">
        <v>441</v>
      </c>
      <c r="H18" s="232" t="s">
        <v>441</v>
      </c>
      <c r="I18" s="290">
        <v>200</v>
      </c>
      <c r="J18" s="291"/>
    </row>
    <row r="19" spans="1:10" s="233" customFormat="1" ht="15.75">
      <c r="A19" s="311"/>
      <c r="B19" s="271" t="s">
        <v>397</v>
      </c>
      <c r="C19" s="232" t="s">
        <v>441</v>
      </c>
      <c r="D19" s="232" t="s">
        <v>441</v>
      </c>
      <c r="E19" s="232" t="s">
        <v>442</v>
      </c>
      <c r="F19" s="290">
        <v>100</v>
      </c>
      <c r="G19" s="232" t="s">
        <v>441</v>
      </c>
      <c r="H19" s="232" t="s">
        <v>441</v>
      </c>
      <c r="I19" s="290">
        <v>100</v>
      </c>
      <c r="J19" s="291"/>
    </row>
    <row r="20" spans="1:10" s="233" customFormat="1" ht="15.75">
      <c r="A20" s="311"/>
      <c r="B20" s="271" t="s">
        <v>120</v>
      </c>
      <c r="C20" s="232" t="s">
        <v>441</v>
      </c>
      <c r="D20" s="232" t="s">
        <v>441</v>
      </c>
      <c r="E20" s="232" t="s">
        <v>442</v>
      </c>
      <c r="F20" s="290">
        <v>300</v>
      </c>
      <c r="G20" s="232" t="s">
        <v>441</v>
      </c>
      <c r="H20" s="232" t="s">
        <v>441</v>
      </c>
      <c r="I20" s="290">
        <v>300</v>
      </c>
      <c r="J20" s="291"/>
    </row>
    <row r="21" spans="1:10" s="233" customFormat="1" ht="15.75">
      <c r="A21" s="311"/>
      <c r="B21" s="271" t="s">
        <v>121</v>
      </c>
      <c r="C21" s="232" t="s">
        <v>441</v>
      </c>
      <c r="D21" s="232" t="s">
        <v>441</v>
      </c>
      <c r="E21" s="232" t="s">
        <v>442</v>
      </c>
      <c r="F21" s="290">
        <v>100</v>
      </c>
      <c r="G21" s="232" t="s">
        <v>441</v>
      </c>
      <c r="H21" s="232" t="s">
        <v>441</v>
      </c>
      <c r="I21" s="290">
        <v>100</v>
      </c>
      <c r="J21" s="291"/>
    </row>
    <row r="22" spans="1:10" s="233" customFormat="1" ht="15.75">
      <c r="A22" s="311"/>
      <c r="B22" s="271" t="s">
        <v>124</v>
      </c>
      <c r="C22" s="232" t="s">
        <v>441</v>
      </c>
      <c r="D22" s="232" t="s">
        <v>441</v>
      </c>
      <c r="E22" s="232" t="s">
        <v>442</v>
      </c>
      <c r="F22" s="290">
        <v>200</v>
      </c>
      <c r="G22" s="232" t="s">
        <v>441</v>
      </c>
      <c r="H22" s="232" t="s">
        <v>441</v>
      </c>
      <c r="I22" s="290">
        <v>200</v>
      </c>
      <c r="J22" s="291"/>
    </row>
    <row r="23" spans="1:10" s="233" customFormat="1" ht="15.75">
      <c r="A23" s="311"/>
      <c r="B23" s="271" t="s">
        <v>125</v>
      </c>
      <c r="C23" s="232" t="s">
        <v>441</v>
      </c>
      <c r="D23" s="232" t="s">
        <v>441</v>
      </c>
      <c r="E23" s="232" t="s">
        <v>442</v>
      </c>
      <c r="F23" s="290">
        <v>50</v>
      </c>
      <c r="G23" s="232" t="s">
        <v>441</v>
      </c>
      <c r="H23" s="232" t="s">
        <v>441</v>
      </c>
      <c r="I23" s="290">
        <v>50</v>
      </c>
      <c r="J23" s="291"/>
    </row>
    <row r="24" spans="1:10" s="233" customFormat="1" ht="15.75">
      <c r="A24" s="311"/>
      <c r="B24" s="271" t="s">
        <v>127</v>
      </c>
      <c r="C24" s="232" t="s">
        <v>441</v>
      </c>
      <c r="D24" s="232" t="s">
        <v>441</v>
      </c>
      <c r="E24" s="232" t="s">
        <v>442</v>
      </c>
      <c r="F24" s="290">
        <v>200</v>
      </c>
      <c r="G24" s="232" t="s">
        <v>441</v>
      </c>
      <c r="H24" s="232" t="s">
        <v>441</v>
      </c>
      <c r="I24" s="290">
        <v>200</v>
      </c>
      <c r="J24" s="291"/>
    </row>
    <row r="25" spans="1:10" s="233" customFormat="1" ht="15.75">
      <c r="A25" s="311"/>
      <c r="B25" s="271" t="s">
        <v>128</v>
      </c>
      <c r="C25" s="232" t="s">
        <v>441</v>
      </c>
      <c r="D25" s="232" t="s">
        <v>441</v>
      </c>
      <c r="E25" s="232" t="s">
        <v>442</v>
      </c>
      <c r="F25" s="290">
        <v>50</v>
      </c>
      <c r="G25" s="232" t="s">
        <v>441</v>
      </c>
      <c r="H25" s="232" t="s">
        <v>441</v>
      </c>
      <c r="I25" s="290">
        <v>50</v>
      </c>
      <c r="J25" s="291"/>
    </row>
    <row r="26" spans="1:10" s="233" customFormat="1" ht="15.75">
      <c r="A26" s="311"/>
      <c r="B26" s="271" t="s">
        <v>129</v>
      </c>
      <c r="C26" s="232" t="s">
        <v>441</v>
      </c>
      <c r="D26" s="232" t="s">
        <v>441</v>
      </c>
      <c r="E26" s="232" t="s">
        <v>442</v>
      </c>
      <c r="F26" s="290">
        <v>300</v>
      </c>
      <c r="G26" s="232" t="s">
        <v>441</v>
      </c>
      <c r="H26" s="232" t="s">
        <v>441</v>
      </c>
      <c r="I26" s="290">
        <v>300</v>
      </c>
      <c r="J26" s="291"/>
    </row>
    <row r="27" spans="1:10" s="233" customFormat="1" ht="15.75">
      <c r="A27" s="311"/>
      <c r="B27" s="271" t="s">
        <v>130</v>
      </c>
      <c r="C27" s="232" t="s">
        <v>441</v>
      </c>
      <c r="D27" s="232" t="s">
        <v>441</v>
      </c>
      <c r="E27" s="232" t="s">
        <v>442</v>
      </c>
      <c r="F27" s="290">
        <v>250</v>
      </c>
      <c r="G27" s="232" t="s">
        <v>441</v>
      </c>
      <c r="H27" s="232" t="s">
        <v>441</v>
      </c>
      <c r="I27" s="290">
        <v>250</v>
      </c>
      <c r="J27" s="291"/>
    </row>
    <row r="28" spans="1:10" s="233" customFormat="1" ht="15.75">
      <c r="A28" s="311"/>
      <c r="B28" s="271" t="s">
        <v>443</v>
      </c>
      <c r="C28" s="232" t="s">
        <v>441</v>
      </c>
      <c r="D28" s="232" t="s">
        <v>441</v>
      </c>
      <c r="E28" s="232" t="s">
        <v>442</v>
      </c>
      <c r="F28" s="290">
        <v>200</v>
      </c>
      <c r="G28" s="232" t="s">
        <v>441</v>
      </c>
      <c r="H28" s="232" t="s">
        <v>441</v>
      </c>
      <c r="I28" s="290">
        <v>200</v>
      </c>
      <c r="J28" s="291"/>
    </row>
    <row r="29" spans="1:10" s="233" customFormat="1" ht="15.75">
      <c r="A29" s="311"/>
      <c r="B29" s="271" t="s">
        <v>133</v>
      </c>
      <c r="C29" s="232" t="s">
        <v>441</v>
      </c>
      <c r="D29" s="232" t="s">
        <v>441</v>
      </c>
      <c r="E29" s="232" t="s">
        <v>442</v>
      </c>
      <c r="F29" s="290">
        <v>200</v>
      </c>
      <c r="G29" s="232" t="s">
        <v>441</v>
      </c>
      <c r="H29" s="232" t="s">
        <v>441</v>
      </c>
      <c r="I29" s="290">
        <v>200</v>
      </c>
      <c r="J29" s="291"/>
    </row>
    <row r="30" spans="1:10" s="235" customFormat="1" ht="42.75" customHeight="1">
      <c r="A30" s="312">
        <v>100000</v>
      </c>
      <c r="B30" s="270" t="s">
        <v>444</v>
      </c>
      <c r="C30" s="229" t="s">
        <v>391</v>
      </c>
      <c r="D30" s="234" t="s">
        <v>445</v>
      </c>
      <c r="E30" s="234" t="s">
        <v>39</v>
      </c>
      <c r="F30" s="287">
        <v>3000</v>
      </c>
      <c r="G30" s="234" t="s">
        <v>438</v>
      </c>
      <c r="H30" s="234" t="s">
        <v>446</v>
      </c>
      <c r="I30" s="288"/>
      <c r="J30" s="292">
        <v>3000</v>
      </c>
    </row>
    <row r="31" spans="1:10" s="235" customFormat="1" ht="43.5" customHeight="1">
      <c r="A31" s="312">
        <v>100000</v>
      </c>
      <c r="B31" s="270" t="s">
        <v>447</v>
      </c>
      <c r="C31" s="229" t="s">
        <v>448</v>
      </c>
      <c r="D31" s="236" t="s">
        <v>436</v>
      </c>
      <c r="E31" s="234" t="s">
        <v>39</v>
      </c>
      <c r="F31" s="287">
        <v>3000</v>
      </c>
      <c r="G31" s="234" t="s">
        <v>438</v>
      </c>
      <c r="H31" s="234" t="s">
        <v>449</v>
      </c>
      <c r="I31" s="288"/>
      <c r="J31" s="292">
        <v>3000</v>
      </c>
    </row>
    <row r="32" spans="1:10" s="235" customFormat="1" ht="45" customHeight="1">
      <c r="A32" s="312">
        <v>100000</v>
      </c>
      <c r="B32" s="272" t="s">
        <v>404</v>
      </c>
      <c r="C32" s="237" t="s">
        <v>402</v>
      </c>
      <c r="D32" s="236" t="s">
        <v>436</v>
      </c>
      <c r="E32" s="234" t="s">
        <v>39</v>
      </c>
      <c r="F32" s="287">
        <v>3000</v>
      </c>
      <c r="G32" s="234" t="s">
        <v>438</v>
      </c>
      <c r="H32" s="234" t="s">
        <v>450</v>
      </c>
      <c r="I32" s="288"/>
      <c r="J32" s="292">
        <v>3000</v>
      </c>
    </row>
    <row r="33" spans="1:10" s="235" customFormat="1" ht="54" customHeight="1">
      <c r="A33" s="312">
        <v>100000</v>
      </c>
      <c r="B33" s="272" t="s">
        <v>451</v>
      </c>
      <c r="C33" s="237" t="s">
        <v>452</v>
      </c>
      <c r="D33" s="234" t="s">
        <v>445</v>
      </c>
      <c r="E33" s="234" t="s">
        <v>39</v>
      </c>
      <c r="F33" s="293">
        <v>700</v>
      </c>
      <c r="G33" s="234" t="s">
        <v>438</v>
      </c>
      <c r="H33" s="238" t="s">
        <v>453</v>
      </c>
      <c r="I33" s="288"/>
      <c r="J33" s="289">
        <v>700</v>
      </c>
    </row>
    <row r="34" spans="1:10" s="235" customFormat="1" ht="99.75" customHeight="1">
      <c r="A34" s="312">
        <v>100000</v>
      </c>
      <c r="B34" s="272" t="s">
        <v>457</v>
      </c>
      <c r="C34" s="237" t="s">
        <v>458</v>
      </c>
      <c r="D34" s="236" t="s">
        <v>436</v>
      </c>
      <c r="E34" s="234" t="s">
        <v>39</v>
      </c>
      <c r="F34" s="293">
        <v>4500</v>
      </c>
      <c r="G34" s="239" t="s">
        <v>483</v>
      </c>
      <c r="H34" s="238" t="s">
        <v>459</v>
      </c>
      <c r="I34" s="288"/>
      <c r="J34" s="289">
        <v>4500</v>
      </c>
    </row>
    <row r="35" spans="1:10" s="235" customFormat="1" ht="45" customHeight="1">
      <c r="A35" s="309">
        <v>250342</v>
      </c>
      <c r="B35" s="272" t="s">
        <v>460</v>
      </c>
      <c r="C35" s="237" t="s">
        <v>461</v>
      </c>
      <c r="D35" s="236" t="s">
        <v>436</v>
      </c>
      <c r="E35" s="238" t="s">
        <v>462</v>
      </c>
      <c r="F35" s="293">
        <v>800</v>
      </c>
      <c r="G35" s="234" t="s">
        <v>438</v>
      </c>
      <c r="H35" s="234" t="s">
        <v>463</v>
      </c>
      <c r="I35" s="288">
        <v>800</v>
      </c>
      <c r="J35" s="289"/>
    </row>
    <row r="36" spans="1:10" s="235" customFormat="1" ht="37.5" customHeight="1">
      <c r="A36" s="309">
        <v>250342</v>
      </c>
      <c r="B36" s="272" t="s">
        <v>464</v>
      </c>
      <c r="C36" s="237" t="s">
        <v>467</v>
      </c>
      <c r="D36" s="236" t="s">
        <v>436</v>
      </c>
      <c r="E36" s="238" t="s">
        <v>468</v>
      </c>
      <c r="F36" s="293">
        <v>700</v>
      </c>
      <c r="G36" s="234" t="s">
        <v>438</v>
      </c>
      <c r="H36" s="234" t="s">
        <v>450</v>
      </c>
      <c r="I36" s="288">
        <v>700</v>
      </c>
      <c r="J36" s="289"/>
    </row>
    <row r="37" spans="1:10" s="235" customFormat="1" ht="42" customHeight="1">
      <c r="A37" s="309">
        <v>250342</v>
      </c>
      <c r="B37" s="272" t="s">
        <v>469</v>
      </c>
      <c r="C37" s="237" t="s">
        <v>470</v>
      </c>
      <c r="D37" s="236" t="s">
        <v>436</v>
      </c>
      <c r="E37" s="238" t="s">
        <v>471</v>
      </c>
      <c r="F37" s="293">
        <v>1000</v>
      </c>
      <c r="G37" s="234" t="s">
        <v>438</v>
      </c>
      <c r="H37" s="234" t="s">
        <v>450</v>
      </c>
      <c r="I37" s="288">
        <v>1000</v>
      </c>
      <c r="J37" s="289"/>
    </row>
    <row r="38" spans="1:10" s="235" customFormat="1" ht="46.5" customHeight="1" thickBot="1">
      <c r="A38" s="309">
        <v>250342</v>
      </c>
      <c r="B38" s="273" t="s">
        <v>392</v>
      </c>
      <c r="C38" s="240" t="s">
        <v>472</v>
      </c>
      <c r="D38" s="241" t="s">
        <v>436</v>
      </c>
      <c r="E38" s="242" t="s">
        <v>473</v>
      </c>
      <c r="F38" s="294">
        <v>300</v>
      </c>
      <c r="G38" s="243" t="s">
        <v>438</v>
      </c>
      <c r="H38" s="243" t="s">
        <v>450</v>
      </c>
      <c r="I38" s="295">
        <v>300</v>
      </c>
      <c r="J38" s="296"/>
    </row>
    <row r="39" spans="1:11" s="247" customFormat="1" ht="17.25" customHeight="1" thickBot="1">
      <c r="A39" s="274"/>
      <c r="B39" s="429" t="s">
        <v>474</v>
      </c>
      <c r="C39" s="430"/>
      <c r="D39" s="430"/>
      <c r="E39" s="430"/>
      <c r="F39" s="244">
        <f>F38+F37+F36+F35+F34+F33+F32+F31+F30+F10</f>
        <v>20000</v>
      </c>
      <c r="G39" s="245"/>
      <c r="H39" s="245"/>
      <c r="I39" s="244">
        <f>I38+I37+I36+I35+I10</f>
        <v>5800</v>
      </c>
      <c r="J39" s="297">
        <f>J34+J33+J32+J31+J30</f>
        <v>14200</v>
      </c>
      <c r="K39" s="246"/>
    </row>
    <row r="40" spans="1:10" s="251" customFormat="1" ht="222.75" customHeight="1">
      <c r="A40" s="309">
        <v>130000</v>
      </c>
      <c r="B40" s="350" t="s">
        <v>476</v>
      </c>
      <c r="C40" s="298" t="s">
        <v>477</v>
      </c>
      <c r="D40" s="299" t="s">
        <v>478</v>
      </c>
      <c r="E40" s="299" t="s">
        <v>479</v>
      </c>
      <c r="F40" s="300">
        <v>150</v>
      </c>
      <c r="G40" s="299" t="s">
        <v>405</v>
      </c>
      <c r="H40" s="250" t="s">
        <v>480</v>
      </c>
      <c r="I40" s="301"/>
      <c r="J40" s="300">
        <v>150</v>
      </c>
    </row>
    <row r="41" spans="1:10" s="251" customFormat="1" ht="39" customHeight="1">
      <c r="A41" s="452">
        <v>130000</v>
      </c>
      <c r="B41" s="281"/>
      <c r="C41" s="458" t="s">
        <v>481</v>
      </c>
      <c r="D41" s="433" t="s">
        <v>406</v>
      </c>
      <c r="E41" s="433" t="s">
        <v>482</v>
      </c>
      <c r="F41" s="454">
        <v>80</v>
      </c>
      <c r="G41" s="433" t="s">
        <v>483</v>
      </c>
      <c r="H41" s="458" t="s">
        <v>484</v>
      </c>
      <c r="I41" s="456"/>
      <c r="J41" s="454">
        <v>80</v>
      </c>
    </row>
    <row r="42" spans="1:10" s="251" customFormat="1" ht="38.25" customHeight="1">
      <c r="A42" s="453"/>
      <c r="B42" s="281"/>
      <c r="C42" s="458"/>
      <c r="D42" s="433"/>
      <c r="E42" s="433"/>
      <c r="F42" s="455"/>
      <c r="G42" s="433"/>
      <c r="H42" s="458"/>
      <c r="I42" s="457"/>
      <c r="J42" s="455"/>
    </row>
    <row r="43" spans="1:10" s="251" customFormat="1" ht="93" customHeight="1">
      <c r="A43" s="312" t="s">
        <v>411</v>
      </c>
      <c r="B43" s="281"/>
      <c r="C43" s="253" t="s">
        <v>485</v>
      </c>
      <c r="D43" s="252" t="s">
        <v>445</v>
      </c>
      <c r="E43" s="252" t="s">
        <v>479</v>
      </c>
      <c r="F43" s="303" t="s">
        <v>486</v>
      </c>
      <c r="G43" s="252" t="s">
        <v>483</v>
      </c>
      <c r="H43" s="253" t="s">
        <v>487</v>
      </c>
      <c r="I43" s="303"/>
      <c r="J43" s="303" t="s">
        <v>486</v>
      </c>
    </row>
    <row r="44" spans="1:10" s="251" customFormat="1" ht="147.75" customHeight="1">
      <c r="A44" s="312">
        <v>130000</v>
      </c>
      <c r="B44" s="281"/>
      <c r="C44" s="253" t="s">
        <v>488</v>
      </c>
      <c r="D44" s="252" t="s">
        <v>445</v>
      </c>
      <c r="E44" s="252" t="s">
        <v>479</v>
      </c>
      <c r="F44" s="303" t="s">
        <v>489</v>
      </c>
      <c r="G44" s="252" t="s">
        <v>483</v>
      </c>
      <c r="H44" s="253" t="s">
        <v>490</v>
      </c>
      <c r="I44" s="303"/>
      <c r="J44" s="303" t="s">
        <v>489</v>
      </c>
    </row>
    <row r="45" spans="1:10" s="251" customFormat="1" ht="140.25">
      <c r="A45" s="312">
        <v>130000</v>
      </c>
      <c r="B45" s="281"/>
      <c r="C45" s="253" t="s">
        <v>491</v>
      </c>
      <c r="D45" s="252" t="s">
        <v>407</v>
      </c>
      <c r="E45" s="252" t="s">
        <v>482</v>
      </c>
      <c r="F45" s="304">
        <v>80</v>
      </c>
      <c r="G45" s="252" t="s">
        <v>483</v>
      </c>
      <c r="H45" s="253" t="s">
        <v>492</v>
      </c>
      <c r="I45" s="303"/>
      <c r="J45" s="304">
        <v>80</v>
      </c>
    </row>
    <row r="46" spans="1:10" s="251" customFormat="1" ht="136.5" customHeight="1">
      <c r="A46" s="312">
        <v>130000</v>
      </c>
      <c r="B46" s="281"/>
      <c r="C46" s="253" t="s">
        <v>493</v>
      </c>
      <c r="D46" s="252" t="s">
        <v>408</v>
      </c>
      <c r="E46" s="252" t="s">
        <v>482</v>
      </c>
      <c r="F46" s="304">
        <v>120</v>
      </c>
      <c r="G46" s="252" t="s">
        <v>483</v>
      </c>
      <c r="H46" s="253" t="s">
        <v>494</v>
      </c>
      <c r="I46" s="303"/>
      <c r="J46" s="304">
        <v>120</v>
      </c>
    </row>
    <row r="47" spans="1:10" s="251" customFormat="1" ht="104.25" customHeight="1">
      <c r="A47" s="312">
        <v>130000</v>
      </c>
      <c r="B47" s="281"/>
      <c r="C47" s="253" t="s">
        <v>495</v>
      </c>
      <c r="D47" s="249" t="s">
        <v>478</v>
      </c>
      <c r="E47" s="252" t="s">
        <v>479</v>
      </c>
      <c r="F47" s="303" t="s">
        <v>496</v>
      </c>
      <c r="G47" s="252" t="s">
        <v>497</v>
      </c>
      <c r="H47" s="253" t="s">
        <v>498</v>
      </c>
      <c r="I47" s="303"/>
      <c r="J47" s="303" t="s">
        <v>496</v>
      </c>
    </row>
    <row r="48" spans="1:10" s="251" customFormat="1" ht="84" customHeight="1" thickBot="1">
      <c r="A48" s="312">
        <v>130000</v>
      </c>
      <c r="B48" s="282"/>
      <c r="C48" s="254" t="s">
        <v>455</v>
      </c>
      <c r="D48" s="255" t="s">
        <v>445</v>
      </c>
      <c r="E48" s="255" t="s">
        <v>479</v>
      </c>
      <c r="F48" s="302" t="s">
        <v>499</v>
      </c>
      <c r="G48" s="255" t="s">
        <v>500</v>
      </c>
      <c r="H48" s="254" t="s">
        <v>501</v>
      </c>
      <c r="I48" s="302"/>
      <c r="J48" s="302" t="s">
        <v>499</v>
      </c>
    </row>
    <row r="49" spans="1:10" s="257" customFormat="1" ht="15.75" customHeight="1" thickBot="1">
      <c r="A49" s="313"/>
      <c r="B49" s="431" t="s">
        <v>502</v>
      </c>
      <c r="C49" s="432"/>
      <c r="D49" s="432"/>
      <c r="E49" s="432"/>
      <c r="F49" s="244">
        <f>F48+F47+F44+F43+F40+40+40+80+120</f>
        <v>1000</v>
      </c>
      <c r="G49" s="256"/>
      <c r="H49" s="256"/>
      <c r="I49" s="245"/>
      <c r="J49" s="244">
        <f>J48+J47+J44+J43+J40+40+40+80+120</f>
        <v>1000</v>
      </c>
    </row>
    <row r="50" spans="1:10" s="251" customFormat="1" ht="51">
      <c r="A50" s="314" t="s">
        <v>409</v>
      </c>
      <c r="B50" s="321" t="s">
        <v>503</v>
      </c>
      <c r="C50" s="248" t="s">
        <v>504</v>
      </c>
      <c r="D50" s="249" t="s">
        <v>445</v>
      </c>
      <c r="E50" s="249" t="s">
        <v>505</v>
      </c>
      <c r="F50" s="320">
        <v>650</v>
      </c>
      <c r="G50" s="249" t="s">
        <v>506</v>
      </c>
      <c r="H50" s="248" t="s">
        <v>507</v>
      </c>
      <c r="I50" s="301"/>
      <c r="J50" s="305">
        <v>650</v>
      </c>
    </row>
    <row r="51" spans="1:10" s="251" customFormat="1" ht="85.5" customHeight="1">
      <c r="A51" s="314" t="s">
        <v>409</v>
      </c>
      <c r="B51" s="322" t="s">
        <v>508</v>
      </c>
      <c r="C51" s="253" t="s">
        <v>456</v>
      </c>
      <c r="D51" s="252" t="s">
        <v>509</v>
      </c>
      <c r="E51" s="318" t="s">
        <v>505</v>
      </c>
      <c r="F51" s="319">
        <v>2628</v>
      </c>
      <c r="G51" s="252" t="s">
        <v>506</v>
      </c>
      <c r="H51" s="253" t="s">
        <v>510</v>
      </c>
      <c r="I51" s="303"/>
      <c r="J51" s="287">
        <v>2628</v>
      </c>
    </row>
    <row r="52" spans="1:10" s="251" customFormat="1" ht="38.25">
      <c r="A52" s="314" t="s">
        <v>409</v>
      </c>
      <c r="B52" s="322" t="s">
        <v>511</v>
      </c>
      <c r="C52" s="253" t="s">
        <v>512</v>
      </c>
      <c r="D52" s="252" t="s">
        <v>445</v>
      </c>
      <c r="E52" s="318" t="s">
        <v>505</v>
      </c>
      <c r="F52" s="319">
        <v>2000</v>
      </c>
      <c r="G52" s="252" t="s">
        <v>513</v>
      </c>
      <c r="H52" s="253" t="s">
        <v>514</v>
      </c>
      <c r="I52" s="303"/>
      <c r="J52" s="287">
        <v>2000</v>
      </c>
    </row>
    <row r="53" spans="1:10" s="251" customFormat="1" ht="38.25">
      <c r="A53" s="314" t="s">
        <v>409</v>
      </c>
      <c r="B53" s="322" t="s">
        <v>515</v>
      </c>
      <c r="C53" s="253" t="s">
        <v>516</v>
      </c>
      <c r="D53" s="252" t="s">
        <v>445</v>
      </c>
      <c r="E53" s="318" t="s">
        <v>505</v>
      </c>
      <c r="F53" s="319">
        <v>160</v>
      </c>
      <c r="G53" s="252" t="s">
        <v>517</v>
      </c>
      <c r="H53" s="253" t="s">
        <v>518</v>
      </c>
      <c r="I53" s="303"/>
      <c r="J53" s="287">
        <v>160</v>
      </c>
    </row>
    <row r="54" spans="1:10" s="251" customFormat="1" ht="57.75" customHeight="1">
      <c r="A54" s="314" t="s">
        <v>409</v>
      </c>
      <c r="B54" s="322" t="s">
        <v>519</v>
      </c>
      <c r="C54" s="253" t="s">
        <v>454</v>
      </c>
      <c r="D54" s="253"/>
      <c r="E54" s="318" t="s">
        <v>520</v>
      </c>
      <c r="F54" s="319">
        <v>600</v>
      </c>
      <c r="G54" s="249" t="s">
        <v>530</v>
      </c>
      <c r="H54" s="253" t="s">
        <v>521</v>
      </c>
      <c r="I54" s="303"/>
      <c r="J54" s="287">
        <v>600</v>
      </c>
    </row>
    <row r="55" spans="1:10" s="251" customFormat="1" ht="51">
      <c r="A55" s="314" t="s">
        <v>409</v>
      </c>
      <c r="B55" s="322" t="s">
        <v>522</v>
      </c>
      <c r="C55" s="253" t="s">
        <v>523</v>
      </c>
      <c r="D55" s="252" t="s">
        <v>445</v>
      </c>
      <c r="E55" s="318" t="s">
        <v>520</v>
      </c>
      <c r="F55" s="319">
        <v>1600</v>
      </c>
      <c r="G55" s="249" t="s">
        <v>530</v>
      </c>
      <c r="H55" s="253" t="s">
        <v>521</v>
      </c>
      <c r="I55" s="303"/>
      <c r="J55" s="287">
        <v>1600</v>
      </c>
    </row>
    <row r="56" spans="1:10" s="251" customFormat="1" ht="123.75" customHeight="1" thickBot="1">
      <c r="A56" s="314" t="s">
        <v>409</v>
      </c>
      <c r="B56" s="323" t="s">
        <v>524</v>
      </c>
      <c r="C56" s="253" t="s">
        <v>393</v>
      </c>
      <c r="D56" s="252" t="s">
        <v>445</v>
      </c>
      <c r="E56" s="318" t="s">
        <v>505</v>
      </c>
      <c r="F56" s="319">
        <f>8336+200</f>
        <v>8536</v>
      </c>
      <c r="G56" s="252" t="s">
        <v>530</v>
      </c>
      <c r="H56" s="317" t="s">
        <v>525</v>
      </c>
      <c r="I56" s="303"/>
      <c r="J56" s="287">
        <v>8336</v>
      </c>
    </row>
    <row r="57" spans="1:10" s="259" customFormat="1" ht="17.25" customHeight="1" thickBot="1">
      <c r="A57" s="278"/>
      <c r="B57" s="431" t="s">
        <v>526</v>
      </c>
      <c r="C57" s="432"/>
      <c r="D57" s="432"/>
      <c r="E57" s="432"/>
      <c r="F57" s="244">
        <f>SUM(F50:F56)</f>
        <v>16174</v>
      </c>
      <c r="G57" s="256"/>
      <c r="H57" s="258"/>
      <c r="I57" s="283"/>
      <c r="J57" s="244">
        <f>SUM(J50:J56)</f>
        <v>15974</v>
      </c>
    </row>
    <row r="58" spans="1:10" s="251" customFormat="1" ht="83.25" customHeight="1">
      <c r="A58" s="316" t="s">
        <v>410</v>
      </c>
      <c r="B58" s="276" t="s">
        <v>527</v>
      </c>
      <c r="C58" s="248" t="s">
        <v>528</v>
      </c>
      <c r="D58" s="249" t="s">
        <v>478</v>
      </c>
      <c r="E58" s="249" t="s">
        <v>529</v>
      </c>
      <c r="F58" s="305">
        <v>410</v>
      </c>
      <c r="G58" s="249" t="s">
        <v>530</v>
      </c>
      <c r="H58" s="248" t="s">
        <v>531</v>
      </c>
      <c r="I58" s="301"/>
      <c r="J58" s="305">
        <v>410</v>
      </c>
    </row>
    <row r="59" spans="1:10" s="251" customFormat="1" ht="85.5" customHeight="1">
      <c r="A59" s="314" t="s">
        <v>410</v>
      </c>
      <c r="B59" s="275" t="s">
        <v>532</v>
      </c>
      <c r="C59" s="253" t="s">
        <v>533</v>
      </c>
      <c r="D59" s="252" t="s">
        <v>445</v>
      </c>
      <c r="E59" s="252" t="s">
        <v>529</v>
      </c>
      <c r="F59" s="287">
        <v>2214</v>
      </c>
      <c r="G59" s="252" t="s">
        <v>534</v>
      </c>
      <c r="H59" s="253" t="s">
        <v>535</v>
      </c>
      <c r="I59" s="303"/>
      <c r="J59" s="287">
        <v>2214</v>
      </c>
    </row>
    <row r="60" spans="1:10" s="251" customFormat="1" ht="102" customHeight="1" thickBot="1">
      <c r="A60" s="315" t="s">
        <v>410</v>
      </c>
      <c r="B60" s="277" t="s">
        <v>536</v>
      </c>
      <c r="C60" s="254" t="s">
        <v>537</v>
      </c>
      <c r="D60" s="255" t="s">
        <v>445</v>
      </c>
      <c r="E60" s="255" t="s">
        <v>529</v>
      </c>
      <c r="F60" s="306">
        <v>502</v>
      </c>
      <c r="G60" s="255" t="s">
        <v>534</v>
      </c>
      <c r="H60" s="254" t="s">
        <v>535</v>
      </c>
      <c r="I60" s="302"/>
      <c r="J60" s="306">
        <v>502</v>
      </c>
    </row>
    <row r="61" spans="1:10" s="251" customFormat="1" ht="15" customHeight="1" thickBot="1">
      <c r="A61" s="279"/>
      <c r="B61" s="431" t="s">
        <v>538</v>
      </c>
      <c r="C61" s="432"/>
      <c r="D61" s="432"/>
      <c r="E61" s="432"/>
      <c r="F61" s="244">
        <f>SUM(F58:F60)</f>
        <v>3126</v>
      </c>
      <c r="G61" s="256"/>
      <c r="H61" s="256"/>
      <c r="I61" s="245"/>
      <c r="J61" s="244">
        <f>SUM(J58:J60)</f>
        <v>3126</v>
      </c>
    </row>
    <row r="62" spans="1:10" s="251" customFormat="1" ht="34.5" customHeight="1">
      <c r="A62" s="420" t="s">
        <v>411</v>
      </c>
      <c r="B62" s="434" t="s">
        <v>539</v>
      </c>
      <c r="C62" s="437" t="s">
        <v>412</v>
      </c>
      <c r="D62" s="437" t="s">
        <v>445</v>
      </c>
      <c r="E62" s="447" t="s">
        <v>540</v>
      </c>
      <c r="F62" s="440">
        <f>148+508.5+1243.5</f>
        <v>1900</v>
      </c>
      <c r="G62" s="437" t="s">
        <v>534</v>
      </c>
      <c r="H62" s="434" t="s">
        <v>535</v>
      </c>
      <c r="I62" s="449"/>
      <c r="J62" s="440">
        <f>148+508.5+1243.5</f>
        <v>1900</v>
      </c>
    </row>
    <row r="63" spans="1:10" s="251" customFormat="1" ht="12.75" customHeight="1">
      <c r="A63" s="420"/>
      <c r="B63" s="445"/>
      <c r="C63" s="438"/>
      <c r="D63" s="438"/>
      <c r="E63" s="433"/>
      <c r="F63" s="441"/>
      <c r="G63" s="438"/>
      <c r="H63" s="435"/>
      <c r="I63" s="450"/>
      <c r="J63" s="441"/>
    </row>
    <row r="64" spans="1:10" s="251" customFormat="1" ht="9.75" customHeight="1" thickBot="1">
      <c r="A64" s="420"/>
      <c r="B64" s="445"/>
      <c r="C64" s="438"/>
      <c r="D64" s="438"/>
      <c r="E64" s="433"/>
      <c r="F64" s="441"/>
      <c r="G64" s="438"/>
      <c r="H64" s="435"/>
      <c r="I64" s="450"/>
      <c r="J64" s="441"/>
    </row>
    <row r="65" spans="1:10" s="251" customFormat="1" ht="15.75" customHeight="1" hidden="1" thickBot="1">
      <c r="A65" s="420"/>
      <c r="B65" s="446"/>
      <c r="C65" s="439"/>
      <c r="D65" s="439"/>
      <c r="E65" s="448"/>
      <c r="F65" s="442"/>
      <c r="G65" s="439"/>
      <c r="H65" s="436"/>
      <c r="I65" s="451"/>
      <c r="J65" s="442"/>
    </row>
    <row r="66" spans="1:10" s="257" customFormat="1" ht="20.25" customHeight="1" thickBot="1">
      <c r="A66" s="280"/>
      <c r="B66" s="431" t="s">
        <v>0</v>
      </c>
      <c r="C66" s="432"/>
      <c r="D66" s="432"/>
      <c r="E66" s="432"/>
      <c r="F66" s="244">
        <f>F62</f>
        <v>1900</v>
      </c>
      <c r="G66" s="260"/>
      <c r="H66" s="260"/>
      <c r="I66" s="245"/>
      <c r="J66" s="244">
        <f>J62</f>
        <v>1900</v>
      </c>
    </row>
    <row r="67" spans="1:10" s="263" customFormat="1" ht="16.5" thickBot="1">
      <c r="A67" s="308"/>
      <c r="B67" s="443" t="s">
        <v>1</v>
      </c>
      <c r="C67" s="444"/>
      <c r="D67" s="444"/>
      <c r="E67" s="444"/>
      <c r="F67" s="307">
        <f>F66+F61+F57+F49+F39</f>
        <v>42200</v>
      </c>
      <c r="G67" s="261"/>
      <c r="H67" s="262"/>
      <c r="I67" s="307">
        <f>I66+I61+I57+I49+I39</f>
        <v>5800</v>
      </c>
      <c r="J67" s="307">
        <f>J66+J61+J57+J49+J39</f>
        <v>36200</v>
      </c>
    </row>
    <row r="68" spans="5:8" ht="12.75">
      <c r="E68" s="264"/>
      <c r="F68" s="265"/>
      <c r="H68" s="264"/>
    </row>
    <row r="69" spans="5:8" ht="12.75">
      <c r="E69" s="264"/>
      <c r="F69" s="265"/>
      <c r="H69" s="264"/>
    </row>
    <row r="70" spans="5:6" ht="12.75">
      <c r="E70" s="264"/>
      <c r="F70" s="265"/>
    </row>
    <row r="71" spans="5:6" ht="12.75">
      <c r="E71" s="264"/>
      <c r="F71" s="265"/>
    </row>
    <row r="72" ht="12.75">
      <c r="E72" s="264"/>
    </row>
    <row r="73" ht="12.75">
      <c r="E73" s="264"/>
    </row>
    <row r="74" ht="12.75">
      <c r="E74" s="264"/>
    </row>
    <row r="75" ht="12.75">
      <c r="E75" s="264"/>
    </row>
  </sheetData>
  <mergeCells count="36">
    <mergeCell ref="I62:I65"/>
    <mergeCell ref="J62:J65"/>
    <mergeCell ref="A41:A42"/>
    <mergeCell ref="F41:F42"/>
    <mergeCell ref="I41:I42"/>
    <mergeCell ref="J41:J42"/>
    <mergeCell ref="G41:G42"/>
    <mergeCell ref="H41:H42"/>
    <mergeCell ref="C41:C42"/>
    <mergeCell ref="D41:D42"/>
    <mergeCell ref="B67:E67"/>
    <mergeCell ref="B57:E57"/>
    <mergeCell ref="B61:E61"/>
    <mergeCell ref="B62:B65"/>
    <mergeCell ref="E62:E65"/>
    <mergeCell ref="H62:H65"/>
    <mergeCell ref="C62:C65"/>
    <mergeCell ref="D62:D65"/>
    <mergeCell ref="B66:E66"/>
    <mergeCell ref="G62:G65"/>
    <mergeCell ref="F62:F65"/>
    <mergeCell ref="H7:H8"/>
    <mergeCell ref="I7:J7"/>
    <mergeCell ref="B39:E39"/>
    <mergeCell ref="B49:E49"/>
    <mergeCell ref="E41:E42"/>
    <mergeCell ref="A7:A8"/>
    <mergeCell ref="A62:A65"/>
    <mergeCell ref="B4:H4"/>
    <mergeCell ref="B5:H5"/>
    <mergeCell ref="B7:B8"/>
    <mergeCell ref="C7:C8"/>
    <mergeCell ref="D7:D8"/>
    <mergeCell ref="E7:E8"/>
    <mergeCell ref="F7:F8"/>
    <mergeCell ref="G7:G8"/>
  </mergeCells>
  <printOptions/>
  <pageMargins left="0.15" right="0.06" top="0.13" bottom="0.16" header="0.09" footer="0.11"/>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I17"/>
  <sheetViews>
    <sheetView tabSelected="1" zoomScale="75" zoomScaleNormal="75" workbookViewId="0" topLeftCell="C13">
      <selection activeCell="C22" sqref="C22"/>
    </sheetView>
  </sheetViews>
  <sheetFormatPr defaultColWidth="9.00390625" defaultRowHeight="12.75"/>
  <cols>
    <col min="1" max="1" width="4.375" style="326" customWidth="1"/>
    <col min="2" max="2" width="36.875" style="326" customWidth="1"/>
    <col min="3" max="3" width="42.375" style="326" customWidth="1"/>
    <col min="4" max="4" width="29.00390625" style="326" customWidth="1"/>
    <col min="5" max="5" width="33.25390625" style="326" customWidth="1"/>
    <col min="6" max="6" width="17.25390625" style="326" customWidth="1"/>
    <col min="7" max="7" width="15.25390625" style="326" customWidth="1"/>
    <col min="8" max="8" width="14.875" style="326" hidden="1" customWidth="1"/>
    <col min="9" max="16384" width="8.875" style="326" customWidth="1"/>
  </cols>
  <sheetData>
    <row r="1" spans="1:7" ht="12.75" customHeight="1">
      <c r="A1" s="324"/>
      <c r="F1" s="459" t="s">
        <v>337</v>
      </c>
      <c r="G1" s="459"/>
    </row>
    <row r="2" spans="1:7" ht="15" customHeight="1">
      <c r="A2" s="325"/>
      <c r="F2" s="460" t="s">
        <v>5</v>
      </c>
      <c r="G2" s="460"/>
    </row>
    <row r="3" spans="1:7" ht="12.75" customHeight="1">
      <c r="A3" s="325"/>
      <c r="F3" s="459" t="s">
        <v>338</v>
      </c>
      <c r="G3" s="459"/>
    </row>
    <row r="4" spans="2:8" ht="40.5" customHeight="1">
      <c r="B4" s="461" t="s">
        <v>352</v>
      </c>
      <c r="C4" s="461"/>
      <c r="D4" s="461"/>
      <c r="E4" s="461"/>
      <c r="F4" s="461"/>
      <c r="G4" s="461"/>
      <c r="H4" s="328"/>
    </row>
    <row r="5" spans="2:8" ht="16.5" customHeight="1">
      <c r="B5" s="327"/>
      <c r="C5" s="327"/>
      <c r="D5" s="327"/>
      <c r="E5" s="327"/>
      <c r="F5" s="327"/>
      <c r="G5" s="327"/>
      <c r="H5" s="328"/>
    </row>
    <row r="6" spans="1:9" s="325" customFormat="1" ht="15.75" customHeight="1">
      <c r="A6" s="462"/>
      <c r="B6" s="329" t="s">
        <v>425</v>
      </c>
      <c r="C6" s="329" t="s">
        <v>353</v>
      </c>
      <c r="D6" s="464" t="s">
        <v>354</v>
      </c>
      <c r="E6" s="464" t="s">
        <v>355</v>
      </c>
      <c r="F6" s="466" t="s">
        <v>356</v>
      </c>
      <c r="G6" s="331" t="s">
        <v>357</v>
      </c>
      <c r="H6" s="329" t="s">
        <v>358</v>
      </c>
      <c r="I6" s="332"/>
    </row>
    <row r="7" spans="1:9" s="325" customFormat="1" ht="15.75">
      <c r="A7" s="463"/>
      <c r="B7" s="334"/>
      <c r="C7" s="333" t="s">
        <v>359</v>
      </c>
      <c r="D7" s="465"/>
      <c r="E7" s="465"/>
      <c r="F7" s="467"/>
      <c r="G7" s="335" t="s">
        <v>360</v>
      </c>
      <c r="H7" s="333" t="s">
        <v>361</v>
      </c>
      <c r="I7" s="332"/>
    </row>
    <row r="8" spans="1:9" s="325" customFormat="1" ht="15.75">
      <c r="A8" s="463"/>
      <c r="B8" s="334"/>
      <c r="C8" s="333"/>
      <c r="D8" s="465"/>
      <c r="E8" s="465"/>
      <c r="F8" s="333" t="s">
        <v>201</v>
      </c>
      <c r="G8" s="333"/>
      <c r="H8" s="333"/>
      <c r="I8" s="332"/>
    </row>
    <row r="9" spans="1:8" s="325" customFormat="1" ht="15.75">
      <c r="A9" s="336"/>
      <c r="B9" s="337">
        <v>1</v>
      </c>
      <c r="C9" s="337">
        <v>2</v>
      </c>
      <c r="D9" s="337">
        <v>3</v>
      </c>
      <c r="E9" s="337">
        <v>4</v>
      </c>
      <c r="F9" s="337">
        <v>5</v>
      </c>
      <c r="G9" s="337">
        <v>6</v>
      </c>
      <c r="H9" s="338">
        <v>7</v>
      </c>
    </row>
    <row r="10" spans="1:8" s="325" customFormat="1" ht="147" customHeight="1">
      <c r="A10" s="339" t="s">
        <v>362</v>
      </c>
      <c r="B10" s="340" t="s">
        <v>363</v>
      </c>
      <c r="C10" s="339" t="s">
        <v>364</v>
      </c>
      <c r="D10" s="341" t="s">
        <v>365</v>
      </c>
      <c r="E10" s="341" t="s">
        <v>366</v>
      </c>
      <c r="F10" s="341">
        <v>598</v>
      </c>
      <c r="G10" s="339" t="s">
        <v>367</v>
      </c>
      <c r="H10" s="342"/>
    </row>
    <row r="11" spans="1:8" s="325" customFormat="1" ht="66.75" customHeight="1">
      <c r="A11" s="339" t="s">
        <v>368</v>
      </c>
      <c r="B11" s="340" t="s">
        <v>369</v>
      </c>
      <c r="C11" s="339" t="s">
        <v>370</v>
      </c>
      <c r="D11" s="341" t="s">
        <v>365</v>
      </c>
      <c r="E11" s="341" t="s">
        <v>366</v>
      </c>
      <c r="F11" s="341">
        <v>336</v>
      </c>
      <c r="G11" s="339" t="s">
        <v>367</v>
      </c>
      <c r="H11" s="341"/>
    </row>
    <row r="12" spans="1:8" s="325" customFormat="1" ht="96" customHeight="1">
      <c r="A12" s="339" t="s">
        <v>371</v>
      </c>
      <c r="B12" s="340" t="s">
        <v>372</v>
      </c>
      <c r="C12" s="339" t="s">
        <v>373</v>
      </c>
      <c r="D12" s="341" t="s">
        <v>374</v>
      </c>
      <c r="E12" s="341" t="s">
        <v>366</v>
      </c>
      <c r="F12" s="341">
        <v>220</v>
      </c>
      <c r="G12" s="339" t="s">
        <v>367</v>
      </c>
      <c r="H12" s="339" t="s">
        <v>375</v>
      </c>
    </row>
    <row r="13" spans="1:8" s="325" customFormat="1" ht="78.75" customHeight="1">
      <c r="A13" s="339" t="s">
        <v>376</v>
      </c>
      <c r="B13" s="339" t="s">
        <v>377</v>
      </c>
      <c r="C13" s="339" t="s">
        <v>378</v>
      </c>
      <c r="D13" s="341" t="s">
        <v>365</v>
      </c>
      <c r="E13" s="341" t="s">
        <v>366</v>
      </c>
      <c r="F13" s="341">
        <v>610</v>
      </c>
      <c r="G13" s="339" t="s">
        <v>367</v>
      </c>
      <c r="H13" s="339"/>
    </row>
    <row r="14" spans="1:8" s="325" customFormat="1" ht="51" customHeight="1">
      <c r="A14" s="339" t="s">
        <v>379</v>
      </c>
      <c r="B14" s="340" t="s">
        <v>380</v>
      </c>
      <c r="C14" s="339" t="s">
        <v>381</v>
      </c>
      <c r="D14" s="341" t="s">
        <v>365</v>
      </c>
      <c r="E14" s="341" t="s">
        <v>366</v>
      </c>
      <c r="F14" s="341">
        <f>204+380</f>
        <v>584</v>
      </c>
      <c r="G14" s="339" t="s">
        <v>367</v>
      </c>
      <c r="H14" s="339"/>
    </row>
    <row r="15" spans="1:8" s="325" customFormat="1" ht="79.5" customHeight="1">
      <c r="A15" s="339" t="s">
        <v>382</v>
      </c>
      <c r="B15" s="339" t="s">
        <v>383</v>
      </c>
      <c r="C15" s="339" t="s">
        <v>384</v>
      </c>
      <c r="D15" s="341" t="s">
        <v>365</v>
      </c>
      <c r="E15" s="341" t="s">
        <v>385</v>
      </c>
      <c r="F15" s="341">
        <v>117</v>
      </c>
      <c r="G15" s="339" t="s">
        <v>367</v>
      </c>
      <c r="H15" s="339"/>
    </row>
    <row r="16" spans="1:8" s="325" customFormat="1" ht="69" customHeight="1" thickBot="1">
      <c r="A16" s="343" t="s">
        <v>386</v>
      </c>
      <c r="B16" s="344" t="s">
        <v>387</v>
      </c>
      <c r="C16" s="343" t="s">
        <v>388</v>
      </c>
      <c r="D16" s="330" t="s">
        <v>389</v>
      </c>
      <c r="E16" s="330" t="s">
        <v>366</v>
      </c>
      <c r="F16" s="330">
        <v>3500</v>
      </c>
      <c r="G16" s="343" t="s">
        <v>367</v>
      </c>
      <c r="H16" s="340" t="s">
        <v>390</v>
      </c>
    </row>
    <row r="17" spans="1:8" s="325" customFormat="1" ht="16.5" thickBot="1">
      <c r="A17" s="345"/>
      <c r="B17" s="346" t="s">
        <v>421</v>
      </c>
      <c r="C17" s="346"/>
      <c r="D17" s="346"/>
      <c r="E17" s="346"/>
      <c r="F17" s="347">
        <f>SUM(F10:F16)</f>
        <v>5965</v>
      </c>
      <c r="G17" s="348"/>
      <c r="H17" s="349"/>
    </row>
  </sheetData>
  <mergeCells count="8">
    <mergeCell ref="A6:A8"/>
    <mergeCell ref="D6:D8"/>
    <mergeCell ref="E6:E8"/>
    <mergeCell ref="F6:F7"/>
    <mergeCell ref="F1:G1"/>
    <mergeCell ref="F2:G2"/>
    <mergeCell ref="F3:G3"/>
    <mergeCell ref="B4:G4"/>
  </mergeCells>
  <printOptions/>
  <pageMargins left="0.56" right="0.24" top="0.2" bottom="0.21" header="0.2" footer="0.2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azarova</cp:lastModifiedBy>
  <cp:lastPrinted>2004-07-27T07:56:59Z</cp:lastPrinted>
  <dcterms:created xsi:type="dcterms:W3CDTF">2003-12-10T21:35:36Z</dcterms:created>
  <dcterms:modified xsi:type="dcterms:W3CDTF">2004-07-28T09:01:02Z</dcterms:modified>
  <cp:category/>
  <cp:version/>
  <cp:contentType/>
  <cp:contentStatus/>
</cp:coreProperties>
</file>