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№1" sheetId="1" r:id="rId1"/>
    <sheet name="№2" sheetId="2" r:id="rId2"/>
    <sheet name="№3" sheetId="3" r:id="rId3"/>
    <sheet name="№4" sheetId="4" r:id="rId4"/>
    <sheet name="№5" sheetId="5" r:id="rId5"/>
    <sheet name="№6" sheetId="6" r:id="rId6"/>
    <sheet name="№7" sheetId="7" r:id="rId7"/>
    <sheet name="№8" sheetId="8" r:id="rId8"/>
    <sheet name="№9" sheetId="9" r:id="rId9"/>
  </sheets>
  <externalReferences>
    <externalReference r:id="rId12"/>
    <externalReference r:id="rId13"/>
    <externalReference r:id="rId14"/>
  </externalReferences>
  <definedNames>
    <definedName name="_xlnm._FilterDatabase" localSheetId="2" hidden="1">'№3'!$A$14:$BF$155</definedName>
    <definedName name="Pfujkjdrb_lkz_gtxfnb">'№1'!$7:$9</definedName>
    <definedName name="Z_1D767D7F_3A7F_4027_AABF_9FB18720D692_.wvu.Cols" localSheetId="1" hidden="1">'№2'!#REF!,'№2'!$I:$I</definedName>
    <definedName name="Z_1D767D7F_3A7F_4027_AABF_9FB18720D692_.wvu.Cols" localSheetId="2" hidden="1">'№3'!#REF!,'№3'!$I:$I</definedName>
    <definedName name="Z_1D767D7F_3A7F_4027_AABF_9FB18720D692_.wvu.Cols" localSheetId="4" hidden="1">'№5'!#REF!,'№5'!$N:$P</definedName>
    <definedName name="Z_1D767D7F_3A7F_4027_AABF_9FB18720D692_.wvu.FilterData" localSheetId="2" hidden="1">'№3'!$A$14:$BF$155</definedName>
    <definedName name="Z_1D767D7F_3A7F_4027_AABF_9FB18720D692_.wvu.PrintArea" localSheetId="0" hidden="1">'№1'!$A$1:$F$65</definedName>
    <definedName name="Z_1D767D7F_3A7F_4027_AABF_9FB18720D692_.wvu.PrintArea" localSheetId="1" hidden="1">'№2'!$A$1:$J$113</definedName>
    <definedName name="Z_1D767D7F_3A7F_4027_AABF_9FB18720D692_.wvu.PrintArea" localSheetId="2" hidden="1">'№3'!$A$1:$J$153</definedName>
    <definedName name="Z_1D767D7F_3A7F_4027_AABF_9FB18720D692_.wvu.PrintArea" localSheetId="4" hidden="1">'№5'!$A$1:$C$59</definedName>
    <definedName name="Z_1D767D7F_3A7F_4027_AABF_9FB18720D692_.wvu.PrintTitles" localSheetId="0" hidden="1">'№1'!$7:$9</definedName>
    <definedName name="Z_1D767D7F_3A7F_4027_AABF_9FB18720D692_.wvu.PrintTitles" localSheetId="1" hidden="1">'№2'!$9:$12</definedName>
    <definedName name="Z_1D767D7F_3A7F_4027_AABF_9FB18720D692_.wvu.PrintTitles" localSheetId="2" hidden="1">'№3'!$11:$14</definedName>
    <definedName name="Z_1D767D7F_3A7F_4027_AABF_9FB18720D692_.wvu.PrintTitles" localSheetId="3" hidden="1">'№4'!$A:$A</definedName>
    <definedName name="Z_1D767D7F_3A7F_4027_AABF_9FB18720D692_.wvu.Rows" localSheetId="0" hidden="1">'№1'!$6:$6,'№1'!#REF!,'№1'!$33:$34</definedName>
    <definedName name="Z_1D767D7F_3A7F_4027_AABF_9FB18720D692_.wvu.Rows" localSheetId="1" hidden="1">'№2'!#REF!,'№2'!#REF!,'№2'!#REF!</definedName>
    <definedName name="Z_1D767D7F_3A7F_4027_AABF_9FB18720D692_.wvu.Rows" localSheetId="2" hidden="1">'№3'!$1:$3,'№3'!#REF!,'№3'!#REF!,'№3'!#REF!,'№3'!#REF!,'№3'!#REF!,'№3'!$63:$63,'№3'!#REF!,'№3'!#REF!,'№3'!#REF!,'№3'!$73:$78,'№3'!#REF!,'№3'!#REF!,'№3'!#REF!,'№3'!#REF!,'№3'!$109:$114,'№3'!#REF!,'№3'!#REF!</definedName>
    <definedName name="Z_1D767D7F_3A7F_4027_AABF_9FB18720D692_.wvu.Rows" localSheetId="4" hidden="1">'№5'!$14:$14,'№5'!$16:$16,'№5'!$18:$18,'№5'!$20:$20,'№5'!$22:$22,'№5'!$24:$26,'№5'!$28:$28,'№5'!$30:$33,'№5'!$35:$37,'№5'!$40:$43,'№5'!$45:$51,'№5'!$53:$57</definedName>
    <definedName name="Z_320DDB09_FBA8_4E1A_90A7_41493CE887A1_.wvu.Cols" localSheetId="1" hidden="1">'№2'!#REF!,'№2'!$I:$I</definedName>
    <definedName name="Z_320DDB09_FBA8_4E1A_90A7_41493CE887A1_.wvu.Cols" localSheetId="2" hidden="1">'№3'!#REF!,'№3'!$I:$I</definedName>
    <definedName name="Z_320DDB09_FBA8_4E1A_90A7_41493CE887A1_.wvu.FilterData" localSheetId="2" hidden="1">'№3'!$A$15:$A$132</definedName>
    <definedName name="Z_320DDB09_FBA8_4E1A_90A7_41493CE887A1_.wvu.PrintArea" localSheetId="1" hidden="1">'№2'!$A$1:$J$104</definedName>
    <definedName name="Z_320DDB09_FBA8_4E1A_90A7_41493CE887A1_.wvu.PrintArea" localSheetId="2" hidden="1">'№3'!$A$1:$J$129</definedName>
    <definedName name="Z_320DDB09_FBA8_4E1A_90A7_41493CE887A1_.wvu.Rows" localSheetId="1" hidden="1">'№2'!#REF!,'№2'!#REF!,'№2'!#REF!,'№2'!#REF!,'№2'!$71:$71,'№2'!#REF!,'№2'!#REF!,'№2'!$76:$76,'№2'!$77:$77,'№2'!$84:$84,'№2'!#REF!,'№2'!#REF!,'№2'!#REF!,'№2'!#REF!,'№2'!#REF!</definedName>
    <definedName name="Z_320DDB09_FBA8_4E1A_90A7_41493CE887A1_.wvu.Rows" localSheetId="2" hidden="1">'№3'!$1:$3</definedName>
    <definedName name="Z_55FBEA9C_3FBC_4C2C_9CDD_81DB4A50B154_.wvu.Cols" localSheetId="1" hidden="1">'№2'!#REF!,'№2'!$I:$I</definedName>
    <definedName name="Z_55FBEA9C_3FBC_4C2C_9CDD_81DB4A50B154_.wvu.Cols" localSheetId="2" hidden="1">'№3'!#REF!,'№3'!$I:$I</definedName>
    <definedName name="Z_55FBEA9C_3FBC_4C2C_9CDD_81DB4A50B154_.wvu.FilterData" localSheetId="2" hidden="1">'№3'!$A$14:$BF$132</definedName>
    <definedName name="Z_55FBEA9C_3FBC_4C2C_9CDD_81DB4A50B154_.wvu.PrintArea" localSheetId="1" hidden="1">'№2'!$A$1:$J$105</definedName>
    <definedName name="Z_55FBEA9C_3FBC_4C2C_9CDD_81DB4A50B154_.wvu.PrintArea" localSheetId="2" hidden="1">'№3'!$A$1:$J$141</definedName>
    <definedName name="Z_55FBEA9C_3FBC_4C2C_9CDD_81DB4A50B154_.wvu.Rows" localSheetId="1" hidden="1">'№2'!#REF!,'№2'!#REF!,'№2'!#REF!,'№2'!$48:$50,'№2'!$58:$58,'№2'!$62:$62,'№2'!#REF!,'№2'!$71:$71,'№2'!#REF!,'№2'!#REF!,'№2'!$76:$76,'№2'!$77:$77,'№2'!$84:$84,'№2'!#REF!,'№2'!#REF!,'№2'!#REF!,'№2'!#REF!,'№2'!#REF!</definedName>
    <definedName name="Z_55FBEA9C_3FBC_4C2C_9CDD_81DB4A50B154_.wvu.Rows" localSheetId="2" hidden="1">'№3'!$1:$3,'№3'!#REF!,'№3'!#REF!,'№3'!$25:$25,'№3'!#REF!,'№3'!#REF!,'№3'!#REF!,'№3'!$40:$40,'№3'!#REF!,'№3'!$42:$42,'№3'!$56:$56,'№3'!$58:$59,'№3'!#REF!,'№3'!$64:$69,'№3'!#REF!,'№3'!$80:$84,'№3'!#REF!,'№3'!$90:$108,'№3'!#REF!</definedName>
    <definedName name="Z_8182C82F_4179_437B_82A5_A0F1DB59C261_.wvu.FilterData" localSheetId="2" hidden="1">'№3'!$A$15:$A$132</definedName>
    <definedName name="Z_A47C3E8F_8E3D_438E_864D_FF8A86EB29FB_.wvu.PrintArea" localSheetId="1" hidden="1">'№2'!$A$1:$L$105</definedName>
    <definedName name="Z_AD77E662_1A59_48FE_B650_EFF948C00338_.wvu.FilterData" localSheetId="2" hidden="1">'№3'!$A$15:$A$132</definedName>
    <definedName name="Z_BB919BB1_78FC_411F_B89B_EE52A9A99CCD_.wvu.Cols" localSheetId="1" hidden="1">'№2'!#REF!,'№2'!$I:$I</definedName>
    <definedName name="Z_BB919BB1_78FC_411F_B89B_EE52A9A99CCD_.wvu.Cols" localSheetId="2" hidden="1">'№3'!#REF!,'№3'!$I:$I</definedName>
    <definedName name="Z_BB919BB1_78FC_411F_B89B_EE52A9A99CCD_.wvu.FilterData" localSheetId="2" hidden="1">'№3'!$A$14:$BF$132</definedName>
    <definedName name="Z_BB919BB1_78FC_411F_B89B_EE52A9A99CCD_.wvu.PrintArea" localSheetId="1" hidden="1">'№2'!$A$1:$J$105</definedName>
    <definedName name="Z_BB919BB1_78FC_411F_B89B_EE52A9A99CCD_.wvu.PrintArea" localSheetId="2" hidden="1">'№3'!$A$1:$J$129</definedName>
    <definedName name="Z_BB919BB1_78FC_411F_B89B_EE52A9A99CCD_.wvu.Rows" localSheetId="1" hidden="1">'№2'!#REF!,'№2'!#REF!,'№2'!#REF!,'№2'!$42:$43,'№2'!$48:$50,'№2'!$58:$58,'№2'!$62:$62,'№2'!#REF!,'№2'!#REF!,'№2'!$71:$71,'№2'!#REF!,'№2'!#REF!,'№2'!$76:$77,'№2'!$84:$96,'№2'!#REF!,'№2'!#REF!</definedName>
    <definedName name="Z_BB919BB1_78FC_411F_B89B_EE52A9A99CCD_.wvu.Rows" localSheetId="2" hidden="1">'№3'!$1:$3,'№3'!#REF!,'№3'!$22:$25,'№3'!#REF!,'№3'!#REF!,'№3'!#REF!,'№3'!$40:$40,'№3'!#REF!,'№3'!$42:$42,'№3'!$56:$56,'№3'!$58:$59,'№3'!#REF!,'№3'!$64:$69,'№3'!#REF!,'№3'!$80:$84,'№3'!#REF!,'№3'!$90:$108,'№3'!#REF!,'№3'!#REF!,'№3'!#REF!,'№3'!#REF!,'№3'!#REF!,'№3'!$126:$127,'№3'!#REF!</definedName>
    <definedName name="Z_C0D6CD41_0FD1_49C4_B712_F128344CF647_.wvu.Cols" localSheetId="1" hidden="1">'№2'!#REF!,'№2'!$I:$I</definedName>
    <definedName name="Z_C0D6CD41_0FD1_49C4_B712_F128344CF647_.wvu.Cols" localSheetId="2" hidden="1">'№3'!#REF!,'№3'!$I:$I</definedName>
    <definedName name="Z_C0D6CD41_0FD1_49C4_B712_F128344CF647_.wvu.Cols" localSheetId="4" hidden="1">'№5'!#REF!,'№5'!$N:$P</definedName>
    <definedName name="Z_C0D6CD41_0FD1_49C4_B712_F128344CF647_.wvu.FilterData" localSheetId="2" hidden="1">'№3'!$A$14:$BF$155</definedName>
    <definedName name="Z_C0D6CD41_0FD1_49C4_B712_F128344CF647_.wvu.PrintArea" localSheetId="0" hidden="1">'№1'!$A$1:$F$65</definedName>
    <definedName name="Z_C0D6CD41_0FD1_49C4_B712_F128344CF647_.wvu.PrintArea" localSheetId="1" hidden="1">'№2'!$A$1:$J$113</definedName>
    <definedName name="Z_C0D6CD41_0FD1_49C4_B712_F128344CF647_.wvu.PrintArea" localSheetId="2" hidden="1">'№3'!$A$1:$J$153</definedName>
    <definedName name="Z_C0D6CD41_0FD1_49C4_B712_F128344CF647_.wvu.PrintArea" localSheetId="4" hidden="1">'№5'!$A$1:$C$59</definedName>
    <definedName name="Z_C0D6CD41_0FD1_49C4_B712_F128344CF647_.wvu.PrintTitles" localSheetId="0" hidden="1">'№1'!$7:$9</definedName>
    <definedName name="Z_C0D6CD41_0FD1_49C4_B712_F128344CF647_.wvu.PrintTitles" localSheetId="1" hidden="1">'№2'!$9:$12</definedName>
    <definedName name="Z_C0D6CD41_0FD1_49C4_B712_F128344CF647_.wvu.PrintTitles" localSheetId="2" hidden="1">'№3'!$11:$14</definedName>
    <definedName name="Z_C0D6CD41_0FD1_49C4_B712_F128344CF647_.wvu.PrintTitles" localSheetId="3" hidden="1">'№4'!$A:$A</definedName>
    <definedName name="Z_C0D6CD41_0FD1_49C4_B712_F128344CF647_.wvu.Rows" localSheetId="0" hidden="1">'№1'!$6:$6,'№1'!$21:$21,'№1'!#REF!,'№1'!$33:$34</definedName>
    <definedName name="Z_C0D6CD41_0FD1_49C4_B712_F128344CF647_.wvu.Rows" localSheetId="1" hidden="1">'№2'!#REF!,'№2'!#REF!,'№2'!#REF!</definedName>
    <definedName name="Z_C0D6CD41_0FD1_49C4_B712_F128344CF647_.wvu.Rows" localSheetId="2" hidden="1">'№3'!$1:$3,'№3'!#REF!,'№3'!#REF!,'№3'!#REF!,'№3'!#REF!,'№3'!#REF!,'№3'!$63:$63,'№3'!#REF!,'№3'!#REF!,'№3'!#REF!,'№3'!$73:$78,'№3'!#REF!,'№3'!#REF!,'№3'!#REF!,'№3'!#REF!,'№3'!$109:$114,'№3'!#REF!,'№3'!#REF!</definedName>
    <definedName name="Z_C0D6CD41_0FD1_49C4_B712_F128344CF647_.wvu.Rows" localSheetId="4" hidden="1">'№5'!$14:$14,'№5'!$16:$16,'№5'!$18:$18,'№5'!$20:$20,'№5'!$22:$22,'№5'!$24:$26,'№5'!$28:$28,'№5'!$30:$33,'№5'!$35:$37,'№5'!$40:$43,'№5'!$45:$51,'№5'!$53:$57</definedName>
    <definedName name="Z_CDF83A7A_6F8D_4548_8D63_D97509A38F07_.wvu.Cols" localSheetId="1" hidden="1">'№2'!#REF!,'№2'!$I:$I</definedName>
    <definedName name="Z_CDF83A7A_6F8D_4548_8D63_D97509A38F07_.wvu.Cols" localSheetId="2" hidden="1">'№3'!#REF!,'№3'!$I:$I</definedName>
    <definedName name="Z_CDF83A7A_6F8D_4548_8D63_D97509A38F07_.wvu.Cols" localSheetId="4" hidden="1">'№5'!#REF!,'№5'!$N:$P</definedName>
    <definedName name="Z_CDF83A7A_6F8D_4548_8D63_D97509A38F07_.wvu.FilterData" localSheetId="2" hidden="1">'№3'!$A$14:$BF$155</definedName>
    <definedName name="Z_CDF83A7A_6F8D_4548_8D63_D97509A38F07_.wvu.PrintArea" localSheetId="0" hidden="1">'№1'!$A$1:$F$65</definedName>
    <definedName name="Z_CDF83A7A_6F8D_4548_8D63_D97509A38F07_.wvu.PrintArea" localSheetId="1" hidden="1">'№2'!$A$1:$J$113</definedName>
    <definedName name="Z_CDF83A7A_6F8D_4548_8D63_D97509A38F07_.wvu.PrintArea" localSheetId="2" hidden="1">'№3'!$A$1:$J$153</definedName>
    <definedName name="Z_CDF83A7A_6F8D_4548_8D63_D97509A38F07_.wvu.PrintArea" localSheetId="4" hidden="1">'№5'!$A$1:$C$59</definedName>
    <definedName name="Z_CDF83A7A_6F8D_4548_8D63_D97509A38F07_.wvu.PrintTitles" localSheetId="0" hidden="1">'№1'!$7:$9</definedName>
    <definedName name="Z_CDF83A7A_6F8D_4548_8D63_D97509A38F07_.wvu.PrintTitles" localSheetId="1" hidden="1">'№2'!$9:$12</definedName>
    <definedName name="Z_CDF83A7A_6F8D_4548_8D63_D97509A38F07_.wvu.PrintTitles" localSheetId="2" hidden="1">'№3'!$11:$14</definedName>
    <definedName name="Z_CDF83A7A_6F8D_4548_8D63_D97509A38F07_.wvu.PrintTitles" localSheetId="3" hidden="1">'№4'!$A:$A</definedName>
    <definedName name="Z_CDF83A7A_6F8D_4548_8D63_D97509A38F07_.wvu.Rows" localSheetId="0" hidden="1">'№1'!$6:$6,'№1'!#REF!,'№1'!$33:$34,'№1'!#REF!,'№1'!#REF!,'№1'!#REF!</definedName>
    <definedName name="Z_CDF83A7A_6F8D_4548_8D63_D97509A38F07_.wvu.Rows" localSheetId="1" hidden="1">'№2'!#REF!,'№2'!#REF!,'№2'!#REF!,'№2'!#REF!,'№2'!#REF!,'№2'!#REF!,'№2'!#REF!,'№2'!#REF!,'№2'!#REF!,'№2'!#REF!,'№2'!#REF!,'№2'!#REF!,'№2'!#REF!,'№2'!#REF!,'№2'!#REF!,'№2'!#REF!,'№2'!#REF!,'№2'!$76:$76,'№2'!#REF!,'№2'!#REF!,'№2'!#REF!,'№2'!$101:$101,'№2'!#REF!,'№2'!$109:$112,'№2'!#REF!</definedName>
    <definedName name="Z_CDF83A7A_6F8D_4548_8D63_D97509A38F07_.wvu.Rows" localSheetId="2" hidden="1">'№3'!$1:$3,'№3'!#REF!,'№3'!#REF!,'№3'!#REF!,'№3'!#REF!,'№3'!#REF!,'№3'!#REF!,'№3'!#REF!,'№3'!#REF!,'№3'!#REF!,'№3'!#REF!,'№3'!#REF!,'№3'!#REF!,'№3'!$63:$63,'№3'!#REF!,'№3'!#REF!,'№3'!#REF!,'№3'!$73:$78,'№3'!#REF!,'№3'!#REF!,'№3'!#REF!,'№3'!#REF!,'№3'!#REF!,'№3'!#REF!,'№3'!#REF!,'№3'!$109:$114,'№3'!#REF!,'№3'!#REF!,'№3'!#REF!,'№3'!#REF!,'№3'!#REF!,'№3'!#REF!,'№3'!#REF!,'№3'!#REF!,'№3'!#REF!,'№3'!$150:$150</definedName>
    <definedName name="Z_CDF83A7A_6F8D_4548_8D63_D97509A38F07_.wvu.Rows" localSheetId="4" hidden="1">'№5'!$14:$14,'№5'!$16:$16,'№5'!$18:$18,'№5'!$20:$20,'№5'!$22:$22,'№5'!$24:$26,'№5'!$28:$28,'№5'!$30:$33,'№5'!$35:$37,'№5'!$40:$43,'№5'!$45:$51,'№5'!$53:$57</definedName>
    <definedName name="Z_D733478A_EE58_449F_AC74_766E540A8B9D_.wvu.FilterData" localSheetId="2" hidden="1">'№3'!$A$15:$A$132</definedName>
    <definedName name="_xlnm.Print_Titles" localSheetId="0">'№1'!$7:$9</definedName>
    <definedName name="_xlnm.Print_Titles" localSheetId="1">'№2'!$9:$12</definedName>
    <definedName name="_xlnm.Print_Titles" localSheetId="2">'№3'!$11:$14</definedName>
    <definedName name="_xlnm.Print_Titles" localSheetId="3">'№4'!$A:$A</definedName>
    <definedName name="_xlnm.Print_Area" localSheetId="0">'№1'!$A$1:$F$65</definedName>
    <definedName name="_xlnm.Print_Area" localSheetId="1">'№2'!$A$1:$J$113</definedName>
    <definedName name="_xlnm.Print_Area" localSheetId="2">'№3'!$A$1:$J$153</definedName>
    <definedName name="_xlnm.Print_Area" localSheetId="3">'№4'!$A$1:$Y$56</definedName>
    <definedName name="_xlnm.Print_Area" localSheetId="4">'№5'!$A$1:$N$55</definedName>
    <definedName name="_xlnm.Print_Area" localSheetId="5">'№6'!$A$1:$E$16</definedName>
    <definedName name="_xlnm.Print_Area" localSheetId="6">'№7'!$A$1:$J$58</definedName>
    <definedName name="_xlnm.Print_Area" localSheetId="7">'№8'!$A$1:$B$11</definedName>
    <definedName name="_xlnm.Print_Area" localSheetId="8">'№9'!$A$1:$B$22</definedName>
  </definedNames>
  <calcPr fullCalcOnLoad="1"/>
</workbook>
</file>

<file path=xl/sharedStrings.xml><?xml version="1.0" encoding="utf-8"?>
<sst xmlns="http://schemas.openxmlformats.org/spreadsheetml/2006/main" count="892" uniqueCount="523">
  <si>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</si>
  <si>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</si>
  <si>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</si>
  <si>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</si>
  <si>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Административные сборы и платежи, доходы от некоммерческой  и побочной продажи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</si>
  <si>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</si>
  <si>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</si>
  <si>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</si>
  <si>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</si>
  <si>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</si>
  <si>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</si>
  <si>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</si>
  <si>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Всего доходов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</si>
  <si>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</si>
  <si>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>Прочие субвенции</t>
  </si>
  <si>
    <t>тыс.грн.</t>
  </si>
  <si>
    <t>091101</t>
  </si>
  <si>
    <t>091102</t>
  </si>
  <si>
    <t>091103</t>
  </si>
  <si>
    <t>091104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</si>
  <si>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</si>
  <si>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</si>
  <si>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</si>
  <si>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</si>
  <si>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</si>
  <si>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</si>
  <si>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Культура и искусство, в том числе</t>
  </si>
  <si>
    <t>110102</t>
  </si>
  <si>
    <t>Театры</t>
  </si>
  <si>
    <t>110103</t>
  </si>
  <si>
    <t>Расходы на проведение работ, связанных со строительством, реконструкцией, ремонтом и  содержанием автомобильных дорог</t>
  </si>
  <si>
    <t>Предупреждение и ликвидация чрезвычайных ситуаций и последствий стихийного бедствия</t>
  </si>
  <si>
    <t>250403</t>
  </si>
  <si>
    <t>250344</t>
  </si>
  <si>
    <t>250328</t>
  </si>
  <si>
    <t>250329</t>
  </si>
  <si>
    <t>250330</t>
  </si>
  <si>
    <t>250380</t>
  </si>
  <si>
    <t xml:space="preserve">на выплату государственной социальной помощи на детей-сирот и детей, лишенных родительского попечения,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 принципу "деньги ходят за ребенком"  </t>
  </si>
  <si>
    <t>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</si>
  <si>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41036300</t>
  </si>
  <si>
    <t>Высшие учреждения образования III и IV уровней аккредитации</t>
  </si>
  <si>
    <t>091108</t>
  </si>
  <si>
    <t>090212</t>
  </si>
  <si>
    <t>Льготы на медицинское обслуживание гражданам, пострадавшим вследствие Чернобыльской катастрофы</t>
  </si>
  <si>
    <t>отклонения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</si>
  <si>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</si>
  <si>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41034300</t>
  </si>
  <si>
    <t>Социальные программы и мероприятия государственных органов по делам молодежи</t>
  </si>
  <si>
    <t>110502</t>
  </si>
  <si>
    <t>Высшие учреждения образования І-ІІ уровней аккредитации</t>
  </si>
  <si>
    <t>080400</t>
  </si>
  <si>
    <t>180109</t>
  </si>
  <si>
    <t>250404</t>
  </si>
  <si>
    <t>090417</t>
  </si>
  <si>
    <t>Расходы на содержание учреждений соцобеспечения и отдельные мероприятия по социальной защите</t>
  </si>
  <si>
    <t>090412, 090416, 090601, 090901, 091207, 091209, 091210, 091212</t>
  </si>
  <si>
    <t>250325</t>
  </si>
  <si>
    <t xml:space="preserve">  Специальный фонд</t>
  </si>
  <si>
    <t>14060900</t>
  </si>
  <si>
    <t>24060800</t>
  </si>
  <si>
    <t>29.12.2010 № 6/2-21</t>
  </si>
  <si>
    <r>
      <t xml:space="preserve">                                                      </t>
    </r>
    <r>
      <rPr>
        <sz val="12"/>
        <rFont val="Arial"/>
        <family val="2"/>
      </rPr>
      <t xml:space="preserve">  29.12.2010 № 6/2-21</t>
    </r>
  </si>
  <si>
    <t>Поступления от сбора за проведение гастрольных мероприятий</t>
  </si>
  <si>
    <t>41030600</t>
  </si>
  <si>
    <t>41030800</t>
  </si>
  <si>
    <t>41030900</t>
  </si>
  <si>
    <t>41031000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</si>
  <si>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регионов, в том числе:</t>
  </si>
  <si>
    <t xml:space="preserve">Специализированные поликлиники  (врачебно-физкультурный диспансер) </t>
  </si>
  <si>
    <t>в том числе:</t>
  </si>
  <si>
    <t>081002</t>
  </si>
  <si>
    <t>за счет субвенции из государственного бюджета местным бюджетам на приобретение расходных материалов и медицинского оборудования для учреждений здравоохранения (постановления КМУ от 31.05.2010 №421)</t>
  </si>
  <si>
    <t>за счет субвенции из государственного бюджета местным бюджетам на приобретение расходных материалов и медицинского оборудования для учреждений здравоохранения (постановление КМУ от 07.06.2010 №422, от 25.10.2010 № 1051)</t>
  </si>
  <si>
    <t>080101, 080102, 080201</t>
  </si>
  <si>
    <t>за счет субвенции из государственного бюджета местным бюджетам на приобретение расходных материалов и медицинского оборудования для учреждений здравоохранения (постановления КМУ от 07.06.2010 №422, от 25.10.2010 № 1051)</t>
  </si>
  <si>
    <t>Приложение 4</t>
  </si>
  <si>
    <t>Наименование административно-территориальных единиц</t>
  </si>
  <si>
    <t>Субвенции общего фонда:</t>
  </si>
  <si>
    <t>Субвенции специального фонда:</t>
  </si>
  <si>
    <t>ВСЕГО</t>
  </si>
  <si>
    <t>на выплату помощи семьям с детьми, малообеспеченным семьям, инвалидам с детства, детям-инвалидам и временной государственной помощи детям</t>
  </si>
  <si>
    <t>на предоставление льгот и жилищных субсидий населению на приобретение твердого и жидкого печного бытового топлива и сжиженного газа</t>
  </si>
  <si>
    <t>компенсация за льготный проезд в городском и пригородном электро- и автотранспорте отдельных категорий граждан</t>
  </si>
  <si>
    <t>льготы на услуги связи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</si>
  <si>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</si>
  <si>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</si>
  <si>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</si>
  <si>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</si>
  <si>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</si>
  <si>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</si>
  <si>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</si>
  <si>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</si>
  <si>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</si>
  <si>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</si>
  <si>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</si>
  <si>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</si>
  <si>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Кировское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</si>
  <si>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</si>
  <si>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</si>
  <si>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</si>
  <si>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</si>
  <si>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</si>
  <si>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</si>
  <si>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</si>
  <si>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</si>
  <si>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</si>
  <si>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</si>
  <si>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</si>
  <si>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</si>
  <si>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</si>
  <si>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</si>
  <si>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</si>
  <si>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</si>
  <si>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</si>
  <si>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</si>
  <si>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Великоновоселковский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</si>
  <si>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</si>
  <si>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</si>
  <si>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</si>
  <si>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</si>
  <si>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</si>
  <si>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</si>
  <si>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</si>
  <si>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</si>
  <si>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</si>
  <si>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</si>
  <si>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</si>
  <si>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</si>
  <si>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</si>
  <si>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</si>
  <si>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</si>
  <si>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Приложение 5</t>
  </si>
  <si>
    <t>Итого</t>
  </si>
  <si>
    <t>Харцызск</t>
  </si>
  <si>
    <t>В-Новоселковский</t>
  </si>
  <si>
    <t>Областной</t>
  </si>
  <si>
    <t>130000</t>
  </si>
  <si>
    <t>110201</t>
  </si>
  <si>
    <t>110300</t>
  </si>
  <si>
    <t>120300</t>
  </si>
  <si>
    <t>070601</t>
  </si>
  <si>
    <t>170703</t>
  </si>
  <si>
    <t>250306</t>
  </si>
  <si>
    <t>Главное финансовое управление облгосадминистрации</t>
  </si>
  <si>
    <t xml:space="preserve"> 070602</t>
  </si>
  <si>
    <t>Приложение 2</t>
  </si>
  <si>
    <t>к решению областного совета</t>
  </si>
  <si>
    <t>по функциональной структуре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</si>
  <si>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</si>
  <si>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</si>
  <si>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</si>
  <si>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</si>
  <si>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</si>
  <si>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</si>
  <si>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</si>
  <si>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</si>
  <si>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</si>
  <si>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</si>
  <si>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</si>
  <si>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</si>
  <si>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</si>
  <si>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</si>
  <si>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</si>
  <si>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</si>
  <si>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</si>
  <si>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Главное управление труда и социальной защиты населения облгосадминистрации</t>
  </si>
  <si>
    <t>Управление по делам семьи и молодежи облгосадминистрации</t>
  </si>
  <si>
    <t>Управление по вопросам физической культуры и спорта облгосадминистрации</t>
  </si>
  <si>
    <t>070000</t>
  </si>
  <si>
    <t>Образование</t>
  </si>
  <si>
    <t>080000</t>
  </si>
  <si>
    <t>Здравоохранение</t>
  </si>
  <si>
    <t>250382</t>
  </si>
  <si>
    <t>090000</t>
  </si>
  <si>
    <t>Социальная защита и социальное обеспечение</t>
  </si>
  <si>
    <t>090403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</si>
  <si>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</si>
  <si>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</si>
  <si>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</si>
  <si>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</si>
  <si>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Жилищно-коммунальное хозяйство</t>
  </si>
  <si>
    <t>Кинематография</t>
  </si>
  <si>
    <t>Средства массовой информации</t>
  </si>
  <si>
    <t>Книгоиздательство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</si>
  <si>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</si>
  <si>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</si>
  <si>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</si>
  <si>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</si>
  <si>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</si>
  <si>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</si>
  <si>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</si>
  <si>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</si>
  <si>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</si>
  <si>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</si>
  <si>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</si>
  <si>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Главное управление капитального строительства облгосадминистрации</t>
  </si>
  <si>
    <t>общий фонд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</si>
  <si>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</si>
  <si>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</si>
  <si>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</si>
  <si>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</si>
  <si>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</si>
  <si>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>Физическая культура и спорт (содержание учреждений физкультуры и спорта, проведение учебно-тренировочных, спортивно-оздоровительных сборов, соревнований и мероприятий)</t>
  </si>
  <si>
    <t>Донецкий областной совет</t>
  </si>
  <si>
    <t>070602</t>
  </si>
  <si>
    <t>Прочие расходы</t>
  </si>
  <si>
    <t>Библиотеки</t>
  </si>
  <si>
    <t>Помощь по уходу за инвалидами I или II группы вследствие психического расстройства</t>
  </si>
  <si>
    <t>всего</t>
  </si>
  <si>
    <t>41020600</t>
  </si>
  <si>
    <t>081009</t>
  </si>
  <si>
    <t>41036600</t>
  </si>
  <si>
    <t>100601</t>
  </si>
  <si>
    <t>на погашение задолженности по разнице в тарифах на тепловую энергию, которая вырабатывалась, транспортировалась и поставлялась населению, возникшей в связи с несоответствием фактической стоимости тепловой энергии тарифам, утверждавшимся или согласовывавшимся соответствующими органами государственной власти или органами местного самоуправления</t>
  </si>
  <si>
    <t>Субвенция из государственного бюджета местным бюджетам на погашение задолженности по разнице в тарифах на тепловую энергию, которая вырабатывалась, транспортировалась и поставлялась населению, возникшей в связи с несоответствием фактической стоимости тепловой энергии тарифам, утверждавшимся или согласовывавшимся соответствующими органами государственной власти или органами местного самоуправления</t>
  </si>
  <si>
    <t xml:space="preserve">240601  240602  240603  240604 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</si>
  <si>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Республике Крым 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</si>
  <si>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41035800</t>
  </si>
  <si>
    <t>091303</t>
  </si>
  <si>
    <t xml:space="preserve">Установка телефонов инвалидам I и II групп </t>
  </si>
  <si>
    <t>Компенсационные выплаты инвалидам на бензин, ремонт, техобслуживание автотранспорта и транспортное обслуживание</t>
  </si>
  <si>
    <t>091304</t>
  </si>
  <si>
    <t>110105</t>
  </si>
  <si>
    <t>Финансовая поддержка гастрольной деятельности</t>
  </si>
  <si>
    <t>250313</t>
  </si>
  <si>
    <t>250376</t>
  </si>
  <si>
    <t>250915</t>
  </si>
  <si>
    <t>по главным распорядителям средств</t>
  </si>
  <si>
    <t>Филармонии, музыкальные коллективы и ансамбли  и прочие мероприятия и учреждения искусства</t>
  </si>
  <si>
    <t xml:space="preserve">110201   110202   110204
</t>
  </si>
  <si>
    <t>Учреждения культуры</t>
  </si>
  <si>
    <t>Прочие культурно-образовательные учреждения и мероприятия</t>
  </si>
  <si>
    <t>Прил.2</t>
  </si>
  <si>
    <t>250102</t>
  </si>
  <si>
    <t>Приложение 1</t>
  </si>
  <si>
    <t>Код</t>
  </si>
  <si>
    <t>Наименование доходов в соответствии с  бюджетной классификацией</t>
  </si>
  <si>
    <t>Общий фонд</t>
  </si>
  <si>
    <t>в т.ч. бюджет развития</t>
  </si>
  <si>
    <t>6=(гр.3+гр.4)</t>
  </si>
  <si>
    <t>Налоговые поступления</t>
  </si>
  <si>
    <t>Х</t>
  </si>
  <si>
    <t xml:space="preserve">на ликвидацию последствий экономического кризиса и чрезвычайных ситуаций природного характера </t>
  </si>
  <si>
    <t xml:space="preserve">    210105</t>
  </si>
  <si>
    <t>150202</t>
  </si>
  <si>
    <t>210000</t>
  </si>
  <si>
    <t>100202</t>
  </si>
  <si>
    <t>Водопроводно-канализационное хозяйство</t>
  </si>
  <si>
    <t>150101</t>
  </si>
  <si>
    <t>171000</t>
  </si>
  <si>
    <t>Деятельность и услуги, не отнесенные к другим категориям</t>
  </si>
  <si>
    <t>120100</t>
  </si>
  <si>
    <t>Телевидение и радиовещание</t>
  </si>
  <si>
    <t>Расходы областного бюджета на 2010 год</t>
  </si>
  <si>
    <t>Доходы областного бюджета на 2010 год</t>
  </si>
  <si>
    <t>Распределение расходов областного бюджета на 2010 год</t>
  </si>
  <si>
    <t>Распределение между местными бюджетами области объёмов межбюджетных трансфертов из государственного бюджета, предусмотренных приложением № 7 Закона Украины "О Государственном бюджете Украины на 2010 год"</t>
  </si>
  <si>
    <t>24062100</t>
  </si>
  <si>
    <t>X</t>
  </si>
  <si>
    <t>за счет резервного фонда</t>
  </si>
  <si>
    <t>250335</t>
  </si>
  <si>
    <t>Государственный архив в Донецкой области</t>
  </si>
  <si>
    <t>расходы по возмещению затрат на проведение работ по отчуждению объектов областной коммунальной собственности</t>
  </si>
  <si>
    <t>Разработка схем и проектных решений массового применения</t>
  </si>
  <si>
    <t xml:space="preserve">Капитальные вложения   </t>
  </si>
  <si>
    <t>на проведение выборов депутатов ВР АРК, местных советов и сельских, поселковых, городских голов</t>
  </si>
  <si>
    <t>41037000</t>
  </si>
  <si>
    <t>250388</t>
  </si>
  <si>
    <t>100101</t>
  </si>
  <si>
    <t>100201</t>
  </si>
  <si>
    <t>Жилищно-эксплуатационное хозяйство</t>
  </si>
  <si>
    <t>Тепловые сети</t>
  </si>
  <si>
    <t>120201</t>
  </si>
  <si>
    <t>Периодические издания (газеты и журналы)</t>
  </si>
  <si>
    <t>160000</t>
  </si>
  <si>
    <t>Сельское и лесное хозяйство, рыбное хозяйство и охота</t>
  </si>
  <si>
    <t>160903</t>
  </si>
  <si>
    <t>Программы в отрасли сельского хозяйства, лесного хозяйства, рыболовства и охоты</t>
  </si>
  <si>
    <t>180404</t>
  </si>
  <si>
    <t>Поддержка малого и среднего предпринимательства</t>
  </si>
  <si>
    <t>Управление информационной политики и по вопросам прессы облгосадминистрации</t>
  </si>
  <si>
    <t>Главное управление по вопросам чрезвычайных ситуаций, мобилизационной и оборонной работы облгосадминистрации</t>
  </si>
  <si>
    <t>Главное управление экономики облгосадминистрации</t>
  </si>
  <si>
    <t xml:space="preserve">Разработка схем и проектных решений массового применения </t>
  </si>
  <si>
    <t>Главное управление промышленности и развития инфраструктуры облгосадминистрации</t>
  </si>
  <si>
    <t>Главное управление агропромышленного развития облгосадминистрации</t>
  </si>
  <si>
    <t>Детская юношеская спортивная школа управления образования и науки</t>
  </si>
  <si>
    <t>41030500</t>
  </si>
  <si>
    <t>Приложение 6</t>
  </si>
  <si>
    <t>Наименование</t>
  </si>
  <si>
    <t>Специальный фонд</t>
  </si>
  <si>
    <t>Внутреннее финансирование</t>
  </si>
  <si>
    <t>Финансирование за счет изменения остатков средств бюджетов</t>
  </si>
  <si>
    <t>На начало периода</t>
  </si>
  <si>
    <t>Финансирование областного бюджета за счёт остатков средств на 01.01.2010 года</t>
  </si>
  <si>
    <t xml:space="preserve">компенсация за льготный проезд в железнодорожном транспорте </t>
  </si>
  <si>
    <t>пригородного сообщения отдельных категорий граждан</t>
  </si>
  <si>
    <t xml:space="preserve"> Поступления сумм процентов за пользование временно свободными бюджетными  средствами местных бюджетов</t>
  </si>
  <si>
    <t>Поступления средств от возмещения потерь сельскохозяйственного и лесохозяйственного производства</t>
  </si>
  <si>
    <t xml:space="preserve">Поступления от отчуждения имущества, которое принадлежит  Автономной Республике Крым и имущества, которое находится в коммунальной собственности </t>
  </si>
  <si>
    <t>междугороднего сообщения</t>
  </si>
  <si>
    <t xml:space="preserve">на погашение задолженности по расходам 2009 года, проводимым за счет субвенций из областного бюджета </t>
  </si>
  <si>
    <t>Субвенция на выполнение собственных полномочий территориальных громад сел, поселков, городов и их объединений</t>
  </si>
  <si>
    <t xml:space="preserve">Объем средств субвенций, передаваемых областному бюджету бюджетами городов областного значения и районными бюджетами на выполнение государственных, региональных программ и совместных мероприятий </t>
  </si>
  <si>
    <t>№ п/п</t>
  </si>
  <si>
    <t>КФК расходов</t>
  </si>
  <si>
    <t>120000</t>
  </si>
  <si>
    <t>Главный распорядитель</t>
  </si>
  <si>
    <t>Управление по делам семьи и молодежи</t>
  </si>
  <si>
    <t>Наименование мероприятий</t>
  </si>
  <si>
    <t>Проведение оздоровления и летнего отдыха детей</t>
  </si>
  <si>
    <t>Организация централизованного обеспечения коммунальных газет области бумагой</t>
  </si>
  <si>
    <t>Фонд</t>
  </si>
  <si>
    <t>Димитров</t>
  </si>
  <si>
    <t>Всего по бюджетам городов</t>
  </si>
  <si>
    <t xml:space="preserve">Великоновоселковский </t>
  </si>
  <si>
    <t xml:space="preserve">Волновахский </t>
  </si>
  <si>
    <t xml:space="preserve">Володарский </t>
  </si>
  <si>
    <t xml:space="preserve">Константиновский </t>
  </si>
  <si>
    <t xml:space="preserve">Красноармейский </t>
  </si>
  <si>
    <t xml:space="preserve">Новоазовский </t>
  </si>
  <si>
    <t xml:space="preserve">Александровский </t>
  </si>
  <si>
    <t xml:space="preserve">Першотравневый </t>
  </si>
  <si>
    <t xml:space="preserve">Славянский </t>
  </si>
  <si>
    <t xml:space="preserve">Старобешевский </t>
  </si>
  <si>
    <t xml:space="preserve">Тельмановский </t>
  </si>
  <si>
    <t xml:space="preserve">Шахтерский </t>
  </si>
  <si>
    <t>Всего по бюджетам районов</t>
  </si>
  <si>
    <t>Всего по бюджетам</t>
  </si>
  <si>
    <t xml:space="preserve"> Главное управление жилищно-коммунального хозяйства облгосадминистрации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</si>
  <si>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смерти, компенсация за льготный  междугородний проезд гражданам, которые пострадали вследствие аварии на ЧАЭС, компенсация за льготный проезд воздушным транспортом</t>
  </si>
  <si>
    <t>Финансирование по активным операциям</t>
  </si>
  <si>
    <t>Изменение объемов денежных средств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</si>
  <si>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</si>
  <si>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</si>
  <si>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Расходы на погашение прочих задолженностей, возникших в предыдущие годы</t>
  </si>
  <si>
    <t xml:space="preserve">Программа стабилизации и социально-экономического развития территорий </t>
  </si>
  <si>
    <t xml:space="preserve">Образование (высшие учреждения образования І-ІІ уровней аккредитации; прочие учреждения и мероприятия последипломного образования) </t>
  </si>
  <si>
    <t>за счет субвенции из государственного бюджета  областному бюджету Донецкой области на обеспечение лечения инвалидов-спинальников в Донецкой областной больнице восстановительного лечения  (постановление КМУ от 07.06.2010 №422)</t>
  </si>
  <si>
    <t>в том числе в части финансирования мероприятия "Содержание региональных ландшафтных парков "Донецкий кряж", "Клебан-Бык", "Краматорский", "Зуевский", "Меотида"</t>
  </si>
  <si>
    <t xml:space="preserve"> в том числе в части финансирования мероприятия "Содержание региональных ландшафтных парков "Донецкий кряж", "Клебан-Бык", "Краматорский", "Зуевский", "Меотида"</t>
  </si>
  <si>
    <t xml:space="preserve">Водопроводно-канализационное хозяйство </t>
  </si>
  <si>
    <t xml:space="preserve">Расходы на предупреждение и ликвидацию чрезвычайных ситуаций и последствий стихийного бедствия </t>
  </si>
  <si>
    <t>Образование (учреждения образования, программы и мероприятия в сфере образования)</t>
  </si>
  <si>
    <t>130202</t>
  </si>
  <si>
    <t>41034800</t>
  </si>
  <si>
    <t>091111</t>
  </si>
  <si>
    <t>130112</t>
  </si>
  <si>
    <t>Управление градостроительства и архитектуры облгосадминистрации</t>
  </si>
  <si>
    <t>Название главного распорядителя средств</t>
  </si>
  <si>
    <t>21050000</t>
  </si>
  <si>
    <t>Субвенция из государственного бюджета местным бюджетам на проведение выборов депутатов ВР АРК, местных советов и сельских, поселковых, городских голов</t>
  </si>
  <si>
    <t>41034500</t>
  </si>
  <si>
    <t>на социально-экономическое развитие регионов</t>
  </si>
  <si>
    <t>Субвенция из государственного бюджета местным бюджетам на осуществление мероприятий по социально-экономическому развитию регионов</t>
  </si>
  <si>
    <t>за счет субвенции из государственного бюджета местным бюджетам на осуществление мероприятий по социально-экономическому развитию регионов</t>
  </si>
  <si>
    <t>080201</t>
  </si>
  <si>
    <t xml:space="preserve">240601  240602  240603  240604  </t>
  </si>
  <si>
    <t>240605</t>
  </si>
  <si>
    <t>080102</t>
  </si>
  <si>
    <t>Плата за государственную регистрацию, кроме платы за  государственную регистрацию субъектов предпринимательской деятельности</t>
  </si>
  <si>
    <t xml:space="preserve">Поступления от  арендной платы  за пользование  целостным имущественным комплексом и другим государственным имуществом </t>
  </si>
  <si>
    <t xml:space="preserve">Денежные взыскания за ущерб, причинённый нарушением законодательства об охране окружающей среды вследствие хозяйственной и другой деятельности </t>
  </si>
  <si>
    <t>Дотации выравнивания,получаемые из государственного бюджета</t>
  </si>
  <si>
    <t xml:space="preserve">Дополнительная дотация из государственного бюджета местным бюджетам на выравнивание финансовой обеспеченности  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</si>
  <si>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платы(содержание домов и сооружений и придомовых территорий), вывоз бытового мусора и жидких нечистот) и компенсацию за льготный проезд отдельных категорий граждан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</si>
  <si>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платы(содержание домов и сооружений и придомовых территорий), вывоз бытового мусора и жидких нечистот</t>
  </si>
  <si>
    <t>Субвенция из государственного бюджета местным бюджетам на завершение ремонтных работ в учреждениях, предоставляющих социальные  услуги детям и молодежи, создание которых было начато в 2007 году</t>
  </si>
  <si>
    <t>Субвенция из государственного бюджета местным бюджетам на финансирование в 2010 году Программ-победителей Всеукраинского конкурса проектов и программ развития местного самоуправления 2009 года</t>
  </si>
  <si>
    <t>Cредства, полученные из общего фонда бюджета  в бюджет развития(специального фонда)</t>
  </si>
  <si>
    <t>Обеспечение централизованных мероприятий по лечению больных сахарным и несахарным диабетом</t>
  </si>
  <si>
    <t>Завершение ремонтных работ в учреждениях, предоставляющих социальные услуги детям и молодежи, создание которых было начато в 2007 году</t>
  </si>
  <si>
    <t xml:space="preserve">Выплаты компенсации реабилитированным </t>
  </si>
  <si>
    <t>Расходы на захоронение участников боевых действий и инвалидов войны</t>
  </si>
  <si>
    <t>Содержание центров социальных служб для семьи, детей и молодежи</t>
  </si>
  <si>
    <t>Программы и мероприятия центров социальных служб для семьи,детей и молодежи</t>
  </si>
  <si>
    <t>Социальные программы и мероприятия государственных органов по вопросам обеспечения равных прав и возможностей  женщин и мужчин</t>
  </si>
  <si>
    <t>Программа информатизации Донецкой области на 2010-2012 гг.</t>
  </si>
  <si>
    <t xml:space="preserve">раздел 7.5 "Гуманитарная сфера" "Поддержка семьи, детей и молодежи" Программы экономического и социального развития Донецкой области на 2010 год </t>
  </si>
  <si>
    <t>раздел 7.5 "Гуманитарная сфера. Здравоохранение" Программы экономического и социального развития Донецкой области на 2010 года на приобретение наборов и расходных материалов для ПЦР-диагностики гриппа на период эпидемиологического подъема заболеваемости</t>
  </si>
  <si>
    <t>раздел 8.1. "Обеспечение законности и правопорядка" Программы экономического и социального развития Донецкой области на 2010 год</t>
  </si>
  <si>
    <t>Реализация отдельных мероприятий раздела 7.5 "Гуманитарная сфера. Образование" Программы экономического и социального развития Донецкой области на 2010 года</t>
  </si>
  <si>
    <t>Мероприятия по  оздоровлению и отдыху  детей, кроме мероприятий по оздоровлению детей, которые осуществляются за счет средств на оздоровление граждан, пострадавших вследствие Чернобыльской катастрофы</t>
  </si>
  <si>
    <t>Проведение мероприятий по нетрадиционным видам спорта и массовых мероприятий по физической культуре (которые проводятся общественными организациями физкультурно-спортивного направления)</t>
  </si>
  <si>
    <t xml:space="preserve">Дополнительная дотация из государственного бюджета местным бюджетам на выравнивание финансовой обеспеченности </t>
  </si>
  <si>
    <t>Субвенция из государственного бюджета местным бюджетам на предоставление льгот по услугам связи и других предусмотренных законодательством льгот (кроме льгот на получение лекарства,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платы(содержание домов и сооружений и придомовых территорий), вывоз бытового мусора и жидких нечистот) и компенсацию за льготный проезд отдельных категорий граждан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</si>
  <si>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</si>
  <si>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Финансирование ремонта помещений управлений труда и социальной защиты исполнительных органов городских (городов республиканского в АРК и областного значения),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</si>
  <si>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Высшие учреждения образования  III и IV уровней аккредитации</t>
  </si>
  <si>
    <t>Здравоохранение (содержание лечебно-профилактических учреждений, проведение мероприятий и выполнение программ), в т.ч.:</t>
  </si>
  <si>
    <t>Содержание центров социальных служб для семьи,детей и молодежи</t>
  </si>
  <si>
    <t>Программы и мероприятия центров социальных служб для семьи,детей и  молодежи</t>
  </si>
  <si>
    <t>Социальные программы и мероприятия государственных органов по вопросам обеспечения равных прав и возможностей женщин и мужчин</t>
  </si>
  <si>
    <t>Мероприятия по оздоровлению и отдыху детей, кроме мероприятий по оздоровлению детей, которые осуществляются  за счет средств на оздоровление граждан, пострадавших вследствие Чернобыльской катастрофы</t>
  </si>
  <si>
    <t>за счет субвенции из государственного бюджета местным бюджетам на осуществление мероприятий по социально-экономическому развитию регионов (постановление КМУ от 07.06.2010 №422)</t>
  </si>
  <si>
    <t>080101,  080102</t>
  </si>
  <si>
    <t>расходы за счет субвенции из государственного бюджета местным бюджетам на осуществление мероприятий по социально-экономическому развитию регионов (постановление КМУ от 07.06.2010 №422)</t>
  </si>
  <si>
    <t>доходы</t>
  </si>
  <si>
    <t>250366</t>
  </si>
  <si>
    <t>Субвенция из государственного бюджета местным бюджетам на осуществление мероприятий по социально-экономическому развитию (постановление КМУ от 31.05.2010 № 421)</t>
  </si>
  <si>
    <t>на осуществление мероприятий по социально-экономическому развитию</t>
  </si>
  <si>
    <t xml:space="preserve">к решению областного совета </t>
  </si>
  <si>
    <t>Наименование бюджета</t>
  </si>
  <si>
    <t>Сумма, тыс.грн.</t>
  </si>
  <si>
    <t>Областной бюджет Черновицкой области</t>
  </si>
  <si>
    <t>Всего:</t>
  </si>
  <si>
    <t>Приложение 8</t>
  </si>
  <si>
    <t>Субвенция из областного бюджета на предоставление помощи пострадавшим вследствие стихии жителям Черновицкой области</t>
  </si>
  <si>
    <t>на реализацию мини-проектов местного развития</t>
  </si>
  <si>
    <t xml:space="preserve">Субвенции и прочая дотация из областного бюджета бюджетам городов и районов на 2010 год </t>
  </si>
  <si>
    <t>Прочая дотация</t>
  </si>
  <si>
    <t>250315</t>
  </si>
  <si>
    <t>Прочие дотации</t>
  </si>
  <si>
    <t>41033700</t>
  </si>
  <si>
    <t>Субвенция из государственного бюджета местным бюджетам на приобретение расходных материалов и медицинского оборудования для учреждений здравоохранения</t>
  </si>
  <si>
    <t>на приобретение расходных материалов и медицинского оборудования для учреждений здравоохранения</t>
  </si>
  <si>
    <t>100000</t>
  </si>
  <si>
    <t>150119</t>
  </si>
  <si>
    <t>Проведение неотложных восстановительных работ, строительство и реконструкция специализированных больниц и других специализированных учреждений</t>
  </si>
  <si>
    <t xml:space="preserve">Управление информационной политики и по вопросам прессы </t>
  </si>
  <si>
    <t>на социально-экономическое развитие</t>
  </si>
  <si>
    <t>Сохранение природно-заповедного фонда (реализация раздела 8.2 Программы экономического и социального развития Донецкой области на 2010 год)</t>
  </si>
  <si>
    <t xml:space="preserve">Сохранение природно-заповедного фонда (реализация раздела 8.2 " Охрана окружающей природной среды" Программы экономического и социального развития Донецкой области на 2010 год) </t>
  </si>
  <si>
    <t>130110</t>
  </si>
  <si>
    <t>150121</t>
  </si>
  <si>
    <t>Мероприятия по предупреждению аварий и предотвращению техногенных катастроф в жилищно-коммунальном хозяйстве и на других объектах коммунальной собственности</t>
  </si>
  <si>
    <t>Финансовая поддержка спортивных сооружений</t>
  </si>
  <si>
    <t>Субвенция на выполнение собственных полномочий территориальных громад сел, поселков, городов и их объединений (из областного бюджета на содержание приютов для детей)</t>
  </si>
  <si>
    <t xml:space="preserve">на содержание приютов для детей              </t>
  </si>
  <si>
    <t>Физкультура и спорт, в том числе:</t>
  </si>
  <si>
    <t>на компьютеризацию сельских библиотек и библиотек депрессивных городов</t>
  </si>
  <si>
    <t>Реализация отдельных мероприятий раздела 7.5 "Гуманитарная сфера.Образование." Программы экономического и социального развития Донецкой области на 2010 года</t>
  </si>
  <si>
    <t>41035000</t>
  </si>
  <si>
    <t xml:space="preserve">41034800 </t>
  </si>
  <si>
    <t>специальный фонд</t>
  </si>
  <si>
    <t>Реформирование и развитие жилищно-коммунального хозяйства                                                                                                                          (2007 год)</t>
  </si>
  <si>
    <t>Капитальный ремонт и модернизация лифтов жилищного фонда                    (2007 год)</t>
  </si>
  <si>
    <t>Реформирование и развитие коммунального хозяйства (2008 год)</t>
  </si>
  <si>
    <t xml:space="preserve">                                                        Приложение 9</t>
  </si>
  <si>
    <t xml:space="preserve">                                                        к решению областного совета</t>
  </si>
  <si>
    <t>Мероприятия</t>
  </si>
  <si>
    <t>Получатель бюджетных средств</t>
  </si>
  <si>
    <t>Донецкая областная организация Всеукраинской общественной организации "Комитет избирателей Украины"</t>
  </si>
  <si>
    <t>Коммунальное предприятие "Донецкий областной центр информатизации"</t>
  </si>
  <si>
    <t>Приложение 7</t>
  </si>
  <si>
    <t>раздел 8.1. «Обеспечение законности и правопорядка" Программы экономического и социального развития Донецкой области на 2010 года</t>
  </si>
  <si>
    <t xml:space="preserve">на укрепление материально-технической базы и проведение ремонтных работ детских молочных кухонь при лечебных учреждениях коммунальной собственности городов и районов Донецкой области </t>
  </si>
  <si>
    <t>250203</t>
  </si>
  <si>
    <t>Проведение выборов депутатов ВР АРК, местных советов и сельских, поселковых, городских голов</t>
  </si>
  <si>
    <t>субвенции</t>
  </si>
  <si>
    <t>150118</t>
  </si>
  <si>
    <t xml:space="preserve">Жилищное строительство и приобретение жилья для отдельных категорий населения  </t>
  </si>
  <si>
    <t xml:space="preserve">Капитальные вложения, в т.ч.:  </t>
  </si>
  <si>
    <t xml:space="preserve">на лечение больных с хронической и острой почечной недостаточностью, требующих проведения перитонеального диализа </t>
  </si>
  <si>
    <t>раздел 8.2 "Охрана окружающей природной среды" Программы экономического и социального развития Донецкой области на 2010 год</t>
  </si>
  <si>
    <t>раздел 3.5 "Развитие земельных отношений" Программы экономического и социального развития Донецкой области на 2010 год</t>
  </si>
  <si>
    <t xml:space="preserve">раздел 7.5 "Гуманитарная сфера" "Поддержка семьи, детей и молодежи" Программы экономического и социального развития Донецкой области на 2010 года </t>
  </si>
  <si>
    <t>раздел 7.5 "Гуманитарная сфера" Программы экономического и социального развития Донецкой области на 2010 года на приобретение наборов и расходных материалов для ПЦР-диагностики гриппа на период эпидемиологического подъема заболеваемости</t>
  </si>
  <si>
    <t>на пополнение библиотечных фондов сельских библиотек</t>
  </si>
  <si>
    <t xml:space="preserve">Управление по вопросам подготовки и проведения финальной части чемпионата Европы 2012 года по футболу обгосадминистрации </t>
  </si>
  <si>
    <t>на подготовку к проведению Евро-2012</t>
  </si>
  <si>
    <t>41036500</t>
  </si>
  <si>
    <t>Субвенция из государственного бюджета местным бюджетам на погашение кредиторской задолженности, зарегистрированной органами Государственного казначейства как финансовые обязательства по состоянию на 1 января 2010г., по бюджетной программе "Субвенция из государственного бюджета местным бюджетам на финансирование в 2009 году Программ-победителей Всеукраинского конкурса проектов и программ развития местного самоуправления 2008 года"</t>
  </si>
  <si>
    <t>250384</t>
  </si>
  <si>
    <t>41033200</t>
  </si>
  <si>
    <t>раздел 6.3. «Налогово-бюджетная деятельность» Программы экономического и социального развития Донецкой области на 2010 год</t>
  </si>
  <si>
    <t>раздел 6.3 "Налогово-бюджетная деятельность" Программы экономического и социального развития Донецкой области на 2010 год</t>
  </si>
  <si>
    <t>на погашение кредиторской задолженности, зарегистрированной органами Государственного казначейства как финансовые обязательства по состоянию на 1 января 2010г., по бюджетной программе "Субвенция из государственного бюджета местным бюджетам на финансирование в 2009 году Программ-победителей Всеукраинского конкурса проектов и программ развития местного самоуправления 2008 года"</t>
  </si>
  <si>
    <t>на обеспечение лечения инвалидов-спинальников в Донецкой областной больнице восстановительного лечения</t>
  </si>
  <si>
    <t>Субвенция из государственного бюджета областному бюджету Донецкой области на обеспечение лечения инвалидов-спинальников в Донецкой областной больнице восстановительного лечения</t>
  </si>
  <si>
    <t>Перечень получателей бюджетных средств Донецкого областного совета</t>
  </si>
  <si>
    <t>Главное управление МВД Украины в Донецкой области</t>
  </si>
  <si>
    <t>Приобрести современный цифровой комплекс связи, который обеспечит функционирование IP-телефонии, полный мониторинг работы операторов центра принятий сообщений «102», качества и количества обработанных ими звонков, отслеживания места, из которого поступил звонок</t>
  </si>
  <si>
    <t>Организовать высококачественную связь между Центром и райотделами на основе оптоволоконных технологий, что позволит  в кратчайшее время получать и передавать информацию, необходимую для предупреждения и раскрытия преступлений</t>
  </si>
  <si>
    <t>Капитальный ремонт помещения Донецкого апелляционного административного суда</t>
  </si>
  <si>
    <t>Донецкий апелляционный административный суд</t>
  </si>
  <si>
    <t>Реконструкция и капитальный ремонт помещения Донецкого окружного административного суда</t>
  </si>
  <si>
    <t>Донецкий окружной административный суд</t>
  </si>
  <si>
    <t>КП "Дирекция по капитальному строительству и реконструкции международного аэропорта Донецк"</t>
  </si>
  <si>
    <t>КП "Международный аэропорт Донецк"</t>
  </si>
  <si>
    <t>Донецкая областная общественная организация "Центр законадательных инициатив"</t>
  </si>
  <si>
    <t>КП "Донецкий областной центр информатизации"</t>
  </si>
  <si>
    <t>Ассоциация общественных организаций "Социально-экономической стратегии и партнерства"</t>
  </si>
  <si>
    <t>КП "Донецкий региональный центр обращения с отходами"</t>
  </si>
  <si>
    <t>180409, 171000</t>
  </si>
  <si>
    <t>КП региональный спортивный комплекс "Олимпийский"</t>
  </si>
  <si>
    <t>Збільшення статутного фонду КП РСК «Олімпійський»</t>
  </si>
  <si>
    <t>Надання фінансової підтримки КП «Донецькій обласний центр інформатизації»</t>
  </si>
  <si>
    <t>Впровадження регіонального стратегічного плану управління ТПВ в Донецькій області (Постанова №1147 п. від 17.09.1996р. П.83)</t>
  </si>
  <si>
    <t>Филармонии, музыкальные коллективы и ансамбли  и прочие мероприятия и учреждения  искусства</t>
  </si>
  <si>
    <t>Образование (высшие учреждения образования І-ІІ уровней аккредитации; прочие учреждения, мероприятия последипломного образования)</t>
  </si>
  <si>
    <t xml:space="preserve">Дополнительная дотация из государственного бюджета местным бюджетам на  выравнивание финансовой обеспеченности </t>
  </si>
  <si>
    <t>Субвенция из государственного бюджета местным бюджетам на предоставление льгот по услугам связи и других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платы(содержание домов и сооружений и придомовых территорий), вывоз бытового мусора и жидких нечистот) и компенсацию за льготный проезд отдельных категорий граждан</t>
  </si>
  <si>
    <t>Субвенция из государственного бюджета местным бюджетам на  проведение выборов депутатов ВР АРК, местных советов и сельских, поселковых, городских голов</t>
  </si>
  <si>
    <t>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платы(содержание домов и сооружений и придомовых территорий), вывоз бытового мусора и жидких нечистот</t>
  </si>
  <si>
    <t xml:space="preserve">Субвенция из государственного бюджета местным бюджетам на предоставление льгот  и жилищных субсидий населению на приобретение твердого и жидкого  печного  бытового топлива и сжиженого газа </t>
  </si>
  <si>
    <t>на предоставление льгот по услугам связи и прочих, предусмотренных законодательством льгот (кроме льгот на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платы(содержание домов и сооружений и придомовых территорий), вывоз бытового мусора и жидких нечистот) и компенсацию за льготный проезд отдельных категорий граждан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</si>
  <si>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родительского попечения, денежного обеспечения родителям - воспитателям и приемным родителям за предоставление  социальных услуг в детских домах семейного типа и приемных семьях по принципу "деньги ходят за ребенком"</t>
  </si>
  <si>
    <t>за счет субвенции из областного бюджета Луганской области на проведение межбюджетных расчетов за медицинскую помощь, предоставленную больным КЛПУ «Областная психиатрическая больница г.Ждановка»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</si>
  <si>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родительского попечения, денежного обеспечения родителям - 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</t>
  </si>
  <si>
    <t>на финансирование в 2010 году Программ-победителей Всеукраинского конкурса проектов и программ развития местного самоуправления 2009 года</t>
  </si>
  <si>
    <t>на завершение ремонтных работ в учреждениях, предоставляющих социальные услуги детям и молодежи, создание которых было начато в 2007 году</t>
  </si>
  <si>
    <t xml:space="preserve">Дополнительная дотация местным бюджетам на выравнивание финансовой обеспеченности </t>
  </si>
  <si>
    <t>Налог на прибыль предприятий и организаций, которые относятся к коммунальной собственности</t>
  </si>
  <si>
    <t>41020100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</si>
  <si>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</si>
  <si>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Управление культуры и туризма облгосадминистрации</t>
  </si>
  <si>
    <t>250326</t>
  </si>
  <si>
    <t>43010000</t>
  </si>
  <si>
    <t>Главное управление здравоохранения облгосадминистрации</t>
  </si>
  <si>
    <t>Управление образования и науки облгосадминистрации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</si>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</sst>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0"/>
    <numFmt numFmtId="180" formatCode="#,##0.000"/>
    <numFmt numFmtId="181" formatCode="#,##0.0000"/>
    <numFmt numFmtId="182" formatCode="#,##0.000000"/>
    <numFmt numFmtId="183" formatCode="0.0%"/>
    <numFmt numFmtId="184" formatCode="0.0000"/>
    <numFmt numFmtId="185" formatCode="0.00000"/>
    <numFmt numFmtId="186" formatCode="0.000"/>
    <numFmt numFmtId="187" formatCode="#,##0.000_ ;[Red]\-#,##0.000\ "/>
    <numFmt numFmtId="188" formatCode="0.000E+00"/>
    <numFmt numFmtId="189" formatCode="0.0E+00"/>
    <numFmt numFmtId="190" formatCode="0E+00"/>
    <numFmt numFmtId="191" formatCode="0.000000"/>
    <numFmt numFmtId="192" formatCode="0.000%"/>
    <numFmt numFmtId="193" formatCode="0.0000000"/>
  </numFmts>
  <fonts count="3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10"/>
      <name val="Arial"/>
      <family val="0"/>
    </font>
    <font>
      <b/>
      <sz val="11"/>
      <name val="Times New Roman"/>
      <family val="1"/>
    </font>
    <font>
      <sz val="11"/>
      <name val="Helv"/>
      <family val="0"/>
    </font>
    <font>
      <sz val="12"/>
      <name val="Arial Cyr"/>
      <family val="0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4" xfId="0" applyFont="1" applyFill="1" applyBorder="1" applyAlignment="1">
      <alignment horizontal="left"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wrapText="1"/>
    </xf>
    <xf numFmtId="172" fontId="3" fillId="0" borderId="4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4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4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72" fontId="5" fillId="0" borderId="4" xfId="0" applyNumberFormat="1" applyFont="1" applyFill="1" applyBorder="1" applyAlignment="1">
      <alignment horizontal="center"/>
    </xf>
    <xf numFmtId="172" fontId="3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wrapText="1" shrinkToFit="1"/>
    </xf>
    <xf numFmtId="172" fontId="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3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left" vertical="top" wrapText="1"/>
    </xf>
    <xf numFmtId="172" fontId="3" fillId="0" borderId="4" xfId="0" applyNumberFormat="1" applyFont="1" applyFill="1" applyBorder="1" applyAlignment="1">
      <alignment horizontal="right" vertical="top"/>
    </xf>
    <xf numFmtId="49" fontId="3" fillId="0" borderId="5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172" fontId="1" fillId="0" borderId="6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vertical="center" wrapText="1"/>
    </xf>
    <xf numFmtId="172" fontId="1" fillId="0" borderId="4" xfId="0" applyNumberFormat="1" applyFont="1" applyFill="1" applyBorder="1" applyAlignment="1">
      <alignment/>
    </xf>
    <xf numFmtId="0" fontId="3" fillId="0" borderId="4" xfId="0" applyFont="1" applyFill="1" applyBorder="1" applyAlignment="1">
      <alignment vertical="top" wrapText="1"/>
    </xf>
    <xf numFmtId="172" fontId="3" fillId="0" borderId="7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 shrinkToFit="1"/>
    </xf>
    <xf numFmtId="172" fontId="1" fillId="0" borderId="10" xfId="0" applyNumberFormat="1" applyFont="1" applyFill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 shrinkToFit="1"/>
    </xf>
    <xf numFmtId="172" fontId="3" fillId="0" borderId="4" xfId="0" applyNumberFormat="1" applyFont="1" applyFill="1" applyBorder="1" applyAlignment="1">
      <alignment horizontal="center"/>
    </xf>
    <xf numFmtId="172" fontId="3" fillId="0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 shrinkToFit="1"/>
    </xf>
    <xf numFmtId="172" fontId="1" fillId="0" borderId="4" xfId="0" applyNumberFormat="1" applyFont="1" applyFill="1" applyBorder="1" applyAlignment="1">
      <alignment horizontal="center" vertical="center"/>
    </xf>
    <xf numFmtId="172" fontId="1" fillId="0" borderId="6" xfId="0" applyNumberFormat="1" applyFont="1" applyFill="1" applyBorder="1" applyAlignment="1">
      <alignment horizontal="center" vertical="center"/>
    </xf>
    <xf numFmtId="172" fontId="10" fillId="0" borderId="4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172" fontId="1" fillId="0" borderId="12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172" fontId="1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/>
    </xf>
    <xf numFmtId="172" fontId="13" fillId="0" borderId="4" xfId="0" applyNumberFormat="1" applyFont="1" applyFill="1" applyBorder="1" applyAlignment="1">
      <alignment horizontal="right"/>
    </xf>
    <xf numFmtId="172" fontId="14" fillId="0" borderId="4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2" fontId="14" fillId="0" borderId="4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2" fontId="14" fillId="0" borderId="12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 vertical="top"/>
    </xf>
    <xf numFmtId="172" fontId="1" fillId="0" borderId="4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1" fillId="0" borderId="1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wrapText="1" shrinkToFit="1"/>
    </xf>
    <xf numFmtId="172" fontId="3" fillId="0" borderId="18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Alignment="1">
      <alignment horizontal="center"/>
    </xf>
    <xf numFmtId="172" fontId="3" fillId="0" borderId="20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 shrinkToFit="1"/>
    </xf>
    <xf numFmtId="172" fontId="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 shrinkToFit="1"/>
    </xf>
    <xf numFmtId="172" fontId="4" fillId="0" borderId="0" xfId="0" applyNumberFormat="1" applyFont="1" applyFill="1" applyBorder="1" applyAlignment="1">
      <alignment horizontal="left" wrapText="1" shrinkToFit="1"/>
    </xf>
    <xf numFmtId="172" fontId="1" fillId="0" borderId="18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180" fontId="4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2" fontId="5" fillId="0" borderId="4" xfId="0" applyNumberFormat="1" applyFont="1" applyFill="1" applyBorder="1" applyAlignment="1">
      <alignment horizontal="right" vertical="top"/>
    </xf>
    <xf numFmtId="172" fontId="3" fillId="0" borderId="0" xfId="0" applyNumberFormat="1" applyFont="1" applyFill="1" applyAlignment="1">
      <alignment/>
    </xf>
    <xf numFmtId="172" fontId="1" fillId="0" borderId="12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172" fontId="6" fillId="0" borderId="0" xfId="0" applyNumberFormat="1" applyFont="1" applyFill="1" applyAlignment="1">
      <alignment horizontal="right"/>
    </xf>
    <xf numFmtId="172" fontId="1" fillId="0" borderId="18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72" fontId="3" fillId="0" borderId="23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73" fontId="17" fillId="0" borderId="24" xfId="0" applyNumberFormat="1" applyFont="1" applyFill="1" applyBorder="1" applyAlignment="1">
      <alignment horizontal="center"/>
    </xf>
    <xf numFmtId="172" fontId="17" fillId="0" borderId="4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172" fontId="17" fillId="0" borderId="12" xfId="0" applyNumberFormat="1" applyFont="1" applyFill="1" applyBorder="1" applyAlignment="1">
      <alignment horizontal="center"/>
    </xf>
    <xf numFmtId="173" fontId="17" fillId="0" borderId="4" xfId="0" applyNumberFormat="1" applyFont="1" applyFill="1" applyBorder="1" applyAlignment="1">
      <alignment horizontal="center"/>
    </xf>
    <xf numFmtId="0" fontId="17" fillId="0" borderId="4" xfId="0" applyNumberFormat="1" applyFont="1" applyFill="1" applyBorder="1" applyAlignment="1">
      <alignment horizontal="center"/>
    </xf>
    <xf numFmtId="173" fontId="17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172" fontId="17" fillId="0" borderId="18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2" fillId="0" borderId="25" xfId="0" applyFont="1" applyFill="1" applyBorder="1" applyAlignment="1">
      <alignment vertic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17" fillId="0" borderId="26" xfId="0" applyNumberFormat="1" applyFont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3" fontId="17" fillId="0" borderId="0" xfId="0" applyNumberFormat="1" applyFont="1" applyBorder="1" applyAlignment="1">
      <alignment horizontal="center" vertical="center" wrapText="1"/>
    </xf>
    <xf numFmtId="172" fontId="17" fillId="0" borderId="4" xfId="0" applyNumberFormat="1" applyFont="1" applyFill="1" applyBorder="1" applyAlignment="1">
      <alignment horizontal="center" vertical="center"/>
    </xf>
    <xf numFmtId="173" fontId="17" fillId="0" borderId="0" xfId="0" applyNumberFormat="1" applyFont="1" applyFill="1" applyBorder="1" applyAlignment="1">
      <alignment horizontal="center" vertical="center"/>
    </xf>
    <xf numFmtId="172" fontId="17" fillId="0" borderId="4" xfId="0" applyNumberFormat="1" applyFont="1" applyBorder="1" applyAlignment="1">
      <alignment horizontal="center"/>
    </xf>
    <xf numFmtId="173" fontId="17" fillId="0" borderId="0" xfId="0" applyNumberFormat="1" applyFont="1" applyBorder="1" applyAlignment="1">
      <alignment horizontal="center"/>
    </xf>
    <xf numFmtId="172" fontId="2" fillId="0" borderId="6" xfId="0" applyNumberFormat="1" applyFont="1" applyBorder="1" applyAlignment="1">
      <alignment horizontal="center" vertical="center" wrapText="1"/>
    </xf>
    <xf numFmtId="172" fontId="17" fillId="0" borderId="18" xfId="0" applyNumberFormat="1" applyFont="1" applyBorder="1" applyAlignment="1">
      <alignment horizontal="center"/>
    </xf>
    <xf numFmtId="172" fontId="17" fillId="0" borderId="15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17" fillId="0" borderId="0" xfId="0" applyNumberFormat="1" applyFont="1" applyFill="1" applyAlignment="1">
      <alignment vertical="center"/>
    </xf>
    <xf numFmtId="173" fontId="17" fillId="0" borderId="1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left" vertical="top" wrapText="1"/>
    </xf>
    <xf numFmtId="172" fontId="17" fillId="0" borderId="4" xfId="0" applyNumberFormat="1" applyFont="1" applyFill="1" applyBorder="1" applyAlignment="1">
      <alignment horizontal="center" vertical="justify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9" fontId="2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172" fontId="17" fillId="0" borderId="4" xfId="0" applyNumberFormat="1" applyFont="1" applyBorder="1" applyAlignment="1">
      <alignment horizontal="center" vertical="center" wrapText="1"/>
    </xf>
    <xf numFmtId="172" fontId="17" fillId="0" borderId="4" xfId="0" applyNumberFormat="1" applyFont="1" applyFill="1" applyBorder="1" applyAlignment="1">
      <alignment horizontal="center" vertical="center" wrapText="1"/>
    </xf>
    <xf numFmtId="172" fontId="17" fillId="0" borderId="30" xfId="0" applyNumberFormat="1" applyFont="1" applyBorder="1" applyAlignment="1">
      <alignment horizontal="center" vertical="center" wrapText="1"/>
    </xf>
    <xf numFmtId="0" fontId="17" fillId="0" borderId="4" xfId="0" applyFont="1" applyFill="1" applyBorder="1" applyAlignment="1">
      <alignment/>
    </xf>
    <xf numFmtId="172" fontId="17" fillId="0" borderId="0" xfId="0" applyNumberFormat="1" applyFont="1" applyBorder="1" applyAlignment="1">
      <alignment horizontal="center" vertical="center" wrapText="1"/>
    </xf>
    <xf numFmtId="172" fontId="17" fillId="0" borderId="31" xfId="0" applyNumberFormat="1" applyFont="1" applyBorder="1" applyAlignment="1">
      <alignment horizontal="center" vertical="center" wrapText="1"/>
    </xf>
    <xf numFmtId="172" fontId="17" fillId="0" borderId="31" xfId="0" applyNumberFormat="1" applyFont="1" applyFill="1" applyBorder="1" applyAlignment="1">
      <alignment horizontal="center" vertical="center" wrapText="1"/>
    </xf>
    <xf numFmtId="172" fontId="17" fillId="0" borderId="26" xfId="0" applyNumberFormat="1" applyFont="1" applyFill="1" applyBorder="1" applyAlignment="1">
      <alignment horizontal="center" vertical="center" wrapText="1"/>
    </xf>
    <xf numFmtId="172" fontId="17" fillId="0" borderId="4" xfId="0" applyNumberFormat="1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 vertical="center"/>
    </xf>
    <xf numFmtId="172" fontId="17" fillId="0" borderId="31" xfId="0" applyNumberFormat="1" applyFont="1" applyBorder="1" applyAlignment="1">
      <alignment horizontal="center" vertical="center"/>
    </xf>
    <xf numFmtId="172" fontId="17" fillId="0" borderId="26" xfId="0" applyNumberFormat="1" applyFont="1" applyBorder="1" applyAlignment="1">
      <alignment horizontal="center" vertical="center"/>
    </xf>
    <xf numFmtId="172" fontId="17" fillId="0" borderId="31" xfId="0" applyNumberFormat="1" applyFont="1" applyFill="1" applyBorder="1" applyAlignment="1">
      <alignment horizontal="center" vertical="center"/>
    </xf>
    <xf numFmtId="172" fontId="17" fillId="0" borderId="26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72" fontId="17" fillId="0" borderId="0" xfId="0" applyNumberFormat="1" applyFont="1" applyFill="1" applyBorder="1" applyAlignment="1">
      <alignment horizontal="center"/>
    </xf>
    <xf numFmtId="172" fontId="17" fillId="0" borderId="17" xfId="0" applyNumberFormat="1" applyFont="1" applyFill="1" applyBorder="1" applyAlignment="1">
      <alignment horizontal="center"/>
    </xf>
    <xf numFmtId="172" fontId="17" fillId="0" borderId="26" xfId="0" applyNumberFormat="1" applyFont="1" applyFill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172" fontId="2" fillId="0" borderId="26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172" fontId="17" fillId="0" borderId="17" xfId="0" applyNumberFormat="1" applyFont="1" applyBorder="1" applyAlignment="1">
      <alignment horizontal="center"/>
    </xf>
    <xf numFmtId="172" fontId="17" fillId="0" borderId="26" xfId="0" applyNumberFormat="1" applyFont="1" applyBorder="1" applyAlignment="1">
      <alignment horizontal="center"/>
    </xf>
    <xf numFmtId="172" fontId="1" fillId="0" borderId="4" xfId="0" applyNumberFormat="1" applyFont="1" applyFill="1" applyBorder="1" applyAlignment="1">
      <alignment horizontal="center" vertical="justify"/>
    </xf>
    <xf numFmtId="172" fontId="17" fillId="0" borderId="6" xfId="0" applyNumberFormat="1" applyFont="1" applyBorder="1" applyAlignment="1">
      <alignment horizontal="center" vertical="center" wrapText="1"/>
    </xf>
    <xf numFmtId="172" fontId="17" fillId="0" borderId="32" xfId="0" applyNumberFormat="1" applyFont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172" fontId="2" fillId="0" borderId="20" xfId="0" applyNumberFormat="1" applyFont="1" applyBorder="1" applyAlignment="1">
      <alignment horizontal="center"/>
    </xf>
    <xf numFmtId="173" fontId="17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172" fontId="1" fillId="0" borderId="4" xfId="0" applyNumberFormat="1" applyFont="1" applyBorder="1" applyAlignment="1">
      <alignment/>
    </xf>
    <xf numFmtId="180" fontId="3" fillId="0" borderId="4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180" fontId="1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180" fontId="17" fillId="0" borderId="4" xfId="0" applyNumberFormat="1" applyFont="1" applyBorder="1" applyAlignment="1">
      <alignment horizontal="center" vertical="center" wrapText="1"/>
    </xf>
    <xf numFmtId="180" fontId="17" fillId="0" borderId="4" xfId="0" applyNumberFormat="1" applyFont="1" applyFill="1" applyBorder="1" applyAlignment="1">
      <alignment horizontal="center" vertical="center" wrapText="1"/>
    </xf>
    <xf numFmtId="180" fontId="17" fillId="0" borderId="4" xfId="0" applyNumberFormat="1" applyFont="1" applyFill="1" applyBorder="1" applyAlignment="1">
      <alignment horizontal="center"/>
    </xf>
    <xf numFmtId="180" fontId="2" fillId="0" borderId="4" xfId="0" applyNumberFormat="1" applyFont="1" applyBorder="1" applyAlignment="1">
      <alignment horizontal="center"/>
    </xf>
    <xf numFmtId="180" fontId="14" fillId="2" borderId="4" xfId="0" applyNumberFormat="1" applyFont="1" applyFill="1" applyBorder="1" applyAlignment="1">
      <alignment/>
    </xf>
    <xf numFmtId="180" fontId="1" fillId="0" borderId="4" xfId="0" applyNumberFormat="1" applyFont="1" applyFill="1" applyBorder="1" applyAlignment="1">
      <alignment/>
    </xf>
    <xf numFmtId="180" fontId="17" fillId="0" borderId="18" xfId="0" applyNumberFormat="1" applyFont="1" applyFill="1" applyBorder="1" applyAlignment="1">
      <alignment horizontal="center"/>
    </xf>
    <xf numFmtId="172" fontId="2" fillId="0" borderId="4" xfId="0" applyNumberFormat="1" applyFont="1" applyBorder="1" applyAlignment="1">
      <alignment horizontal="center" wrapText="1"/>
    </xf>
    <xf numFmtId="172" fontId="17" fillId="0" borderId="4" xfId="0" applyNumberFormat="1" applyFont="1" applyBorder="1" applyAlignment="1">
      <alignment horizontal="center" wrapText="1"/>
    </xf>
    <xf numFmtId="0" fontId="2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173" fontId="17" fillId="0" borderId="0" xfId="0" applyNumberFormat="1" applyFont="1" applyFill="1" applyAlignment="1">
      <alignment horizontal="center"/>
    </xf>
    <xf numFmtId="49" fontId="1" fillId="0" borderId="34" xfId="0" applyNumberFormat="1" applyFont="1" applyFill="1" applyBorder="1" applyAlignment="1">
      <alignment horizontal="center" vertical="top"/>
    </xf>
    <xf numFmtId="172" fontId="0" fillId="0" borderId="0" xfId="0" applyNumberFormat="1" applyAlignment="1">
      <alignment/>
    </xf>
    <xf numFmtId="0" fontId="1" fillId="0" borderId="4" xfId="0" applyNumberFormat="1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172" fontId="1" fillId="0" borderId="35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 vertical="center" wrapText="1"/>
    </xf>
    <xf numFmtId="0" fontId="19" fillId="0" borderId="4" xfId="15" applyFont="1" applyFill="1" applyBorder="1">
      <alignment/>
      <protection/>
    </xf>
    <xf numFmtId="49" fontId="1" fillId="0" borderId="4" xfId="0" applyNumberFormat="1" applyFont="1" applyFill="1" applyBorder="1" applyAlignment="1">
      <alignment horizontal="center" vertical="top"/>
    </xf>
    <xf numFmtId="0" fontId="0" fillId="0" borderId="31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top" wrapText="1"/>
    </xf>
    <xf numFmtId="172" fontId="2" fillId="0" borderId="4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72" fontId="1" fillId="0" borderId="4" xfId="0" applyNumberFormat="1" applyFont="1" applyFill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left" vertical="center" wrapText="1"/>
    </xf>
    <xf numFmtId="172" fontId="17" fillId="0" borderId="0" xfId="0" applyNumberFormat="1" applyFont="1" applyFill="1" applyBorder="1" applyAlignment="1">
      <alignment horizontal="left" vertical="center" wrapText="1"/>
    </xf>
    <xf numFmtId="172" fontId="1" fillId="0" borderId="30" xfId="0" applyNumberFormat="1" applyFont="1" applyBorder="1" applyAlignment="1">
      <alignment horizontal="left" vertical="center" wrapText="1"/>
    </xf>
    <xf numFmtId="172" fontId="1" fillId="0" borderId="26" xfId="0" applyNumberFormat="1" applyFont="1" applyBorder="1" applyAlignment="1">
      <alignment horizontal="left" vertical="center" wrapText="1"/>
    </xf>
    <xf numFmtId="172" fontId="2" fillId="0" borderId="1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3" fontId="17" fillId="0" borderId="0" xfId="0" applyNumberFormat="1" applyFont="1" applyBorder="1" applyAlignment="1">
      <alignment horizontal="left" vertical="center" wrapText="1"/>
    </xf>
    <xf numFmtId="172" fontId="3" fillId="0" borderId="4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left" vertical="center" wrapText="1"/>
    </xf>
    <xf numFmtId="172" fontId="2" fillId="0" borderId="27" xfId="0" applyNumberFormat="1" applyFont="1" applyBorder="1" applyAlignment="1">
      <alignment horizontal="left" vertical="center" wrapText="1"/>
    </xf>
    <xf numFmtId="172" fontId="3" fillId="0" borderId="20" xfId="0" applyNumberFormat="1" applyFont="1" applyBorder="1" applyAlignment="1">
      <alignment horizontal="left" vertical="center" wrapText="1"/>
    </xf>
    <xf numFmtId="172" fontId="2" fillId="0" borderId="2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172" fontId="0" fillId="3" borderId="0" xfId="0" applyNumberFormat="1" applyFill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wrapText="1"/>
    </xf>
    <xf numFmtId="180" fontId="2" fillId="0" borderId="2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7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86" fontId="17" fillId="0" borderId="12" xfId="0" applyNumberFormat="1" applyFont="1" applyFill="1" applyBorder="1" applyAlignment="1">
      <alignment horizontal="center" vertical="center" wrapText="1"/>
    </xf>
    <xf numFmtId="186" fontId="17" fillId="0" borderId="4" xfId="0" applyNumberFormat="1" applyFont="1" applyFill="1" applyBorder="1" applyAlignment="1">
      <alignment horizontal="center"/>
    </xf>
    <xf numFmtId="186" fontId="17" fillId="0" borderId="18" xfId="0" applyNumberFormat="1" applyFont="1" applyFill="1" applyBorder="1" applyAlignment="1">
      <alignment horizontal="center"/>
    </xf>
    <xf numFmtId="172" fontId="26" fillId="4" borderId="0" xfId="0" applyNumberFormat="1" applyFont="1" applyFill="1" applyAlignment="1">
      <alignment horizontal="center"/>
    </xf>
    <xf numFmtId="173" fontId="27" fillId="4" borderId="0" xfId="0" applyNumberFormat="1" applyFont="1" applyFill="1" applyAlignment="1">
      <alignment horizontal="right"/>
    </xf>
    <xf numFmtId="180" fontId="23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23" fillId="5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/>
    </xf>
    <xf numFmtId="4" fontId="1" fillId="6" borderId="0" xfId="0" applyNumberFormat="1" applyFont="1" applyFill="1" applyAlignment="1">
      <alignment/>
    </xf>
    <xf numFmtId="186" fontId="17" fillId="0" borderId="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180" fontId="17" fillId="0" borderId="4" xfId="0" applyNumberFormat="1" applyFont="1" applyBorder="1" applyAlignment="1">
      <alignment horizontal="center" vertical="center"/>
    </xf>
    <xf numFmtId="180" fontId="17" fillId="0" borderId="4" xfId="0" applyNumberFormat="1" applyFont="1" applyFill="1" applyBorder="1" applyAlignment="1">
      <alignment horizontal="center" vertical="center"/>
    </xf>
    <xf numFmtId="180" fontId="17" fillId="0" borderId="4" xfId="0" applyNumberFormat="1" applyFont="1" applyBorder="1" applyAlignment="1">
      <alignment horizontal="center"/>
    </xf>
    <xf numFmtId="173" fontId="17" fillId="0" borderId="18" xfId="0" applyNumberFormat="1" applyFont="1" applyFill="1" applyBorder="1" applyAlignment="1">
      <alignment horizontal="center"/>
    </xf>
    <xf numFmtId="173" fontId="2" fillId="0" borderId="21" xfId="0" applyNumberFormat="1" applyFont="1" applyFill="1" applyBorder="1" applyAlignment="1">
      <alignment horizontal="center"/>
    </xf>
    <xf numFmtId="172" fontId="17" fillId="0" borderId="12" xfId="0" applyNumberFormat="1" applyFont="1" applyFill="1" applyBorder="1" applyAlignment="1">
      <alignment horizontal="center" vertical="center" wrapText="1"/>
    </xf>
    <xf numFmtId="180" fontId="17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6" fillId="0" borderId="43" xfId="0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25" xfId="0" applyFont="1" applyFill="1" applyBorder="1" applyAlignment="1">
      <alignment horizontal="center" wrapText="1" shrinkToFit="1"/>
    </xf>
    <xf numFmtId="0" fontId="3" fillId="0" borderId="20" xfId="0" applyFont="1" applyFill="1" applyBorder="1" applyAlignment="1">
      <alignment horizontal="center" wrapText="1" shrinkToFit="1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wrapText="1" shrinkToFit="1"/>
    </xf>
    <xf numFmtId="0" fontId="1" fillId="0" borderId="38" xfId="0" applyFont="1" applyFill="1" applyBorder="1" applyAlignment="1">
      <alignment horizontal="center" wrapText="1" shrinkToFi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39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38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72" fontId="21" fillId="0" borderId="8" xfId="0" applyNumberFormat="1" applyFont="1" applyFill="1" applyBorder="1" applyAlignment="1">
      <alignment horizontal="center" vertical="center"/>
    </xf>
    <xf numFmtId="172" fontId="21" fillId="0" borderId="38" xfId="0" applyNumberFormat="1" applyFont="1" applyFill="1" applyBorder="1" applyAlignment="1">
      <alignment horizontal="center" vertical="center"/>
    </xf>
    <xf numFmtId="172" fontId="21" fillId="0" borderId="2" xfId="0" applyNumberFormat="1" applyFont="1" applyFill="1" applyBorder="1" applyAlignment="1">
      <alignment horizontal="center" vertical="center"/>
    </xf>
    <xf numFmtId="9" fontId="21" fillId="0" borderId="38" xfId="0" applyNumberFormat="1" applyFont="1" applyFill="1" applyBorder="1" applyAlignment="1">
      <alignment horizontal="center" vertical="center" wrapText="1"/>
    </xf>
    <xf numFmtId="9" fontId="21" fillId="0" borderId="2" xfId="0" applyNumberFormat="1" applyFont="1" applyFill="1" applyBorder="1" applyAlignment="1">
      <alignment horizontal="center" vertical="center" wrapText="1"/>
    </xf>
    <xf numFmtId="9" fontId="21" fillId="0" borderId="8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 applyProtection="1">
      <alignment horizontal="center" vertical="center" wrapText="1"/>
      <protection locked="0"/>
    </xf>
    <xf numFmtId="0" fontId="21" fillId="0" borderId="36" xfId="0" applyFont="1" applyFill="1" applyBorder="1" applyAlignment="1" applyProtection="1">
      <alignment horizontal="center" vertical="center" wrapText="1"/>
      <protection locked="0"/>
    </xf>
    <xf numFmtId="0" fontId="21" fillId="0" borderId="43" xfId="0" applyFont="1" applyFill="1" applyBorder="1" applyAlignment="1" applyProtection="1">
      <alignment horizontal="center" vertical="center" wrapText="1"/>
      <protection locked="0"/>
    </xf>
    <xf numFmtId="9" fontId="2" fillId="0" borderId="38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9" fontId="21" fillId="0" borderId="47" xfId="0" applyNumberFormat="1" applyFont="1" applyFill="1" applyBorder="1" applyAlignment="1">
      <alignment horizontal="center" vertical="center" wrapText="1"/>
    </xf>
    <xf numFmtId="9" fontId="21" fillId="0" borderId="46" xfId="0" applyNumberFormat="1" applyFont="1" applyFill="1" applyBorder="1" applyAlignment="1">
      <alignment horizontal="center" vertical="center" wrapText="1"/>
    </xf>
    <xf numFmtId="9" fontId="21" fillId="0" borderId="23" xfId="0" applyNumberFormat="1" applyFont="1" applyFill="1" applyBorder="1" applyAlignment="1">
      <alignment horizontal="center" vertical="center" wrapText="1"/>
    </xf>
    <xf numFmtId="9" fontId="21" fillId="0" borderId="48" xfId="0" applyNumberFormat="1" applyFont="1" applyFill="1" applyBorder="1" applyAlignment="1">
      <alignment horizontal="center" vertical="center" wrapText="1"/>
    </xf>
    <xf numFmtId="9" fontId="21" fillId="0" borderId="4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52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4" xfId="0" applyFont="1" applyBorder="1" applyAlignment="1">
      <alignment wrapText="1"/>
    </xf>
    <xf numFmtId="0" fontId="17" fillId="0" borderId="0" xfId="0" applyFont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20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9" fillId="0" borderId="0" xfId="0" applyFont="1" applyFill="1" applyAlignment="1">
      <alignment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38100</xdr:rowOff>
    </xdr:from>
    <xdr:to>
      <xdr:col>2</xdr:col>
      <xdr:colOff>733425</xdr:colOff>
      <xdr:row>8</xdr:row>
      <xdr:rowOff>1133475</xdr:rowOff>
    </xdr:to>
    <xdr:sp>
      <xdr:nvSpPr>
        <xdr:cNvPr id="1" name="Line 1"/>
        <xdr:cNvSpPr>
          <a:spLocks/>
        </xdr:cNvSpPr>
      </xdr:nvSpPr>
      <xdr:spPr>
        <a:xfrm>
          <a:off x="295275" y="2247900"/>
          <a:ext cx="14668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405\!All\RESHENIE\&#1048;&#1047;&#1052;&#1045;&#1053;&#1045;&#1053;&#1048;&#1071;\2010\&#1054;&#1073;&#1083;&#1072;&#1089;&#1090;&#1085;&#1086;&#1081;%2025.05.2010\&#1055;&#1088;&#1080;&#1083;&#1086;&#1078;&#1077;&#1085;&#1080;&#1103;%20&#1082;%20&#1088;&#1077;&#1096;&#1077;&#1085;&#1080;&#1102;%20&#1085;&#1072;%202010%20&#1075;&#1086;&#1076;.25.05.201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na\&#1056;&#1072;&#1073;&#1086;&#1095;&#1080;&#1081;%20&#1089;&#1090;&#1086;&#1083;\&#1056;&#1077;&#1096;&#1077;&#1085;&#1080;&#1077;%2010.01.11\&#1055;&#1088;&#1080;&#1083;&#1086;&#1078;&#1077;&#1085;&#1080;&#1103;%20&#1082;%20&#1088;&#1077;&#1096;&#1077;&#1085;&#1080;&#1102;%20&#1089;&#1077;&#1085;&#1090;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05\Folders\k405\!All\RESHENIE\&#1048;&#1047;&#1052;&#1045;&#1053;&#1045;&#1053;&#1048;&#1071;\2010\21.10.2010\20.10.10%20&#1087;&#1086;&#1089;&#1083;&#1077;&#1076;%20&#1074;&#1072;&#1088;&#1080;&#1072;&#1085;&#1090;\&#1055;&#1088;&#1080;&#1083;&#1086;&#1078;&#1077;&#1085;&#1080;&#1103;%20&#1082;%20&#1088;&#1077;&#1096;&#1077;&#1085;&#1080;&#1102;%20&#1086;&#1082;&#1090;&#1103;&#1073;&#1088;&#1100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4"/>
      <sheetName val="№5"/>
      <sheetName val="№6"/>
      <sheetName val="№7"/>
    </sheetNames>
    <sheetDataSet>
      <sheetData sheetId="0">
        <row r="56">
          <cell r="C56">
            <v>503.8</v>
          </cell>
        </row>
        <row r="58">
          <cell r="C58">
            <v>4822840.6</v>
          </cell>
          <cell r="D58">
            <v>821861.8999999999</v>
          </cell>
          <cell r="E58">
            <v>99586</v>
          </cell>
          <cell r="F58">
            <v>5644702.5</v>
          </cell>
        </row>
      </sheetData>
      <sheetData sheetId="1">
        <row r="92">
          <cell r="C92">
            <v>4914803.500000001</v>
          </cell>
          <cell r="G92">
            <v>860062.3</v>
          </cell>
          <cell r="H92">
            <v>99586</v>
          </cell>
          <cell r="J92">
            <v>5774865.8</v>
          </cell>
        </row>
      </sheetData>
      <sheetData sheetId="5">
        <row r="16">
          <cell r="C16">
            <v>130163.30000000133</v>
          </cell>
          <cell r="D16">
            <v>91962.9000000013</v>
          </cell>
          <cell r="E16">
            <v>38200.4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4"/>
      <sheetName val="№5"/>
      <sheetName val="№6"/>
      <sheetName val="№7"/>
      <sheetName val="№8"/>
    </sheetNames>
    <sheetDataSet>
      <sheetData sheetId="3">
        <row r="55">
          <cell r="Q55">
            <v>6423.27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№1"/>
      <sheetName val="№2"/>
      <sheetName val="№3"/>
      <sheetName val="№4"/>
      <sheetName val="№5"/>
      <sheetName val="№6"/>
      <sheetName val="№7"/>
      <sheetName val="№8"/>
      <sheetName val="№9"/>
    </sheetNames>
    <sheetDataSet>
      <sheetData sheetId="0">
        <row r="62">
          <cell r="C62">
            <v>4927109.4</v>
          </cell>
          <cell r="F62">
            <v>5790850.9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84"/>
  <sheetViews>
    <sheetView tabSelected="1" view="pageBreakPreview" zoomScaleSheetLayoutView="100" workbookViewId="0" topLeftCell="A1">
      <pane xSplit="2" ySplit="9" topLeftCell="C62" activePane="bottomRight" state="frozen"/>
      <selection pane="topLeft" activeCell="B21" sqref="B21:B22"/>
      <selection pane="topRight" activeCell="B21" sqref="B21:B22"/>
      <selection pane="bottomLeft" activeCell="B21" sqref="B21:B22"/>
      <selection pane="bottomRight" activeCell="E9" sqref="E9"/>
    </sheetView>
  </sheetViews>
  <sheetFormatPr defaultColWidth="9.00390625" defaultRowHeight="12.75"/>
  <cols>
    <col min="1" max="1" width="12.375" style="85" customWidth="1"/>
    <col min="2" max="2" width="50.125" style="86" customWidth="1"/>
    <col min="3" max="3" width="11.00390625" style="44" customWidth="1"/>
    <col min="4" max="4" width="11.375" style="44" customWidth="1"/>
    <col min="5" max="5" width="10.125" style="44" customWidth="1"/>
    <col min="6" max="6" width="11.375" style="44" customWidth="1"/>
    <col min="7" max="8" width="10.00390625" style="44" bestFit="1" customWidth="1"/>
    <col min="9" max="9" width="9.375" style="44" bestFit="1" customWidth="1"/>
    <col min="10" max="10" width="10.375" style="44" bestFit="1" customWidth="1"/>
    <col min="11" max="11" width="10.00390625" style="44" bestFit="1" customWidth="1"/>
    <col min="12" max="16384" width="9.125" style="44" customWidth="1"/>
  </cols>
  <sheetData>
    <row r="1" spans="2:6" ht="15.75">
      <c r="B1" s="44"/>
      <c r="D1" s="419" t="s">
        <v>235</v>
      </c>
      <c r="E1" s="419"/>
      <c r="F1" s="419"/>
    </row>
    <row r="2" spans="4:6" ht="15.75">
      <c r="D2" s="419" t="s">
        <v>147</v>
      </c>
      <c r="E2" s="419"/>
      <c r="F2" s="419"/>
    </row>
    <row r="3" spans="4:6" ht="15.75">
      <c r="D3" s="524" t="s">
        <v>61</v>
      </c>
      <c r="E3" s="419"/>
      <c r="F3" s="419"/>
    </row>
    <row r="4" spans="1:6" ht="15" customHeight="1">
      <c r="A4" s="420" t="s">
        <v>255</v>
      </c>
      <c r="B4" s="420"/>
      <c r="C4" s="420"/>
      <c r="D4" s="420"/>
      <c r="E4" s="420"/>
      <c r="F4" s="420"/>
    </row>
    <row r="5" ht="13.5" thickBot="1">
      <c r="F5" s="3" t="s">
        <v>15</v>
      </c>
    </row>
    <row r="6" ht="12" customHeight="1" hidden="1" thickBot="1"/>
    <row r="7" spans="1:6" ht="13.5" thickBot="1">
      <c r="A7" s="413" t="s">
        <v>236</v>
      </c>
      <c r="B7" s="415" t="s">
        <v>237</v>
      </c>
      <c r="C7" s="417" t="s">
        <v>238</v>
      </c>
      <c r="D7" s="405" t="s">
        <v>58</v>
      </c>
      <c r="E7" s="406"/>
      <c r="F7" s="407" t="s">
        <v>154</v>
      </c>
    </row>
    <row r="8" spans="1:18" ht="45" customHeight="1" thickBot="1">
      <c r="A8" s="414"/>
      <c r="B8" s="416"/>
      <c r="C8" s="418"/>
      <c r="D8" s="87" t="s">
        <v>209</v>
      </c>
      <c r="E8" s="88" t="s">
        <v>239</v>
      </c>
      <c r="F8" s="408"/>
      <c r="G8" s="6"/>
      <c r="R8" s="6"/>
    </row>
    <row r="9" spans="1:6" ht="13.5" thickBot="1">
      <c r="A9" s="89">
        <v>1</v>
      </c>
      <c r="B9" s="90">
        <v>2</v>
      </c>
      <c r="C9" s="91">
        <v>3</v>
      </c>
      <c r="D9" s="91">
        <v>4</v>
      </c>
      <c r="E9" s="91">
        <v>5</v>
      </c>
      <c r="F9" s="91" t="s">
        <v>240</v>
      </c>
    </row>
    <row r="10" spans="1:7" s="93" customFormat="1" ht="13.5" thickBot="1">
      <c r="A10" s="133">
        <v>10000000</v>
      </c>
      <c r="B10" s="134" t="s">
        <v>241</v>
      </c>
      <c r="C10" s="135">
        <f>C11+C17+C19</f>
        <v>1689924.5</v>
      </c>
      <c r="D10" s="135">
        <f>D15+D19</f>
        <v>44099</v>
      </c>
      <c r="E10" s="135" t="s">
        <v>242</v>
      </c>
      <c r="F10" s="136">
        <f>C10+D10</f>
        <v>1734023.5</v>
      </c>
      <c r="G10" s="92"/>
    </row>
    <row r="11" spans="1:6" ht="25.5">
      <c r="A11" s="94">
        <v>11000000</v>
      </c>
      <c r="B11" s="95" t="s">
        <v>512</v>
      </c>
      <c r="C11" s="96">
        <f>C12+C13</f>
        <v>1390567.4</v>
      </c>
      <c r="D11" s="96" t="s">
        <v>242</v>
      </c>
      <c r="E11" s="96" t="s">
        <v>242</v>
      </c>
      <c r="F11" s="97">
        <f>F12+F13</f>
        <v>1390567.4</v>
      </c>
    </row>
    <row r="12" spans="1:7" ht="12.75">
      <c r="A12" s="60">
        <v>11010000</v>
      </c>
      <c r="B12" s="42" t="s">
        <v>513</v>
      </c>
      <c r="C12" s="98">
        <f>1324298.8+36950.5+1000-50+700+357.4+5283.7</f>
        <v>1368540.4</v>
      </c>
      <c r="D12" s="43" t="s">
        <v>242</v>
      </c>
      <c r="E12" s="43" t="s">
        <v>242</v>
      </c>
      <c r="F12" s="99">
        <f>C12</f>
        <v>1368540.4</v>
      </c>
      <c r="G12" s="45"/>
    </row>
    <row r="13" spans="1:6" ht="12.75">
      <c r="A13" s="60">
        <v>11020000</v>
      </c>
      <c r="B13" s="42" t="s">
        <v>514</v>
      </c>
      <c r="C13" s="43">
        <v>22027</v>
      </c>
      <c r="D13" s="43" t="s">
        <v>242</v>
      </c>
      <c r="E13" s="43" t="s">
        <v>242</v>
      </c>
      <c r="F13" s="99">
        <f>C13</f>
        <v>22027</v>
      </c>
    </row>
    <row r="14" spans="1:6" ht="25.5">
      <c r="A14" s="60">
        <v>11020200</v>
      </c>
      <c r="B14" s="42" t="s">
        <v>504</v>
      </c>
      <c r="C14" s="98">
        <v>22027</v>
      </c>
      <c r="D14" s="43" t="s">
        <v>242</v>
      </c>
      <c r="E14" s="43" t="s">
        <v>242</v>
      </c>
      <c r="F14" s="99">
        <f>C14</f>
        <v>22027</v>
      </c>
    </row>
    <row r="15" spans="1:6" ht="12.75">
      <c r="A15" s="60">
        <v>12000000</v>
      </c>
      <c r="B15" s="42" t="s">
        <v>515</v>
      </c>
      <c r="C15" s="43" t="s">
        <v>242</v>
      </c>
      <c r="D15" s="43">
        <f>D16</f>
        <v>42500</v>
      </c>
      <c r="E15" s="43" t="s">
        <v>242</v>
      </c>
      <c r="F15" s="99">
        <f>F16</f>
        <v>42500</v>
      </c>
    </row>
    <row r="16" spans="1:6" ht="25.5">
      <c r="A16" s="60">
        <v>12020000</v>
      </c>
      <c r="B16" s="42" t="s">
        <v>516</v>
      </c>
      <c r="C16" s="43" t="s">
        <v>242</v>
      </c>
      <c r="D16" s="98">
        <v>42500</v>
      </c>
      <c r="E16" s="43" t="s">
        <v>242</v>
      </c>
      <c r="F16" s="99">
        <f>D16</f>
        <v>42500</v>
      </c>
    </row>
    <row r="17" spans="1:7" ht="16.5" customHeight="1">
      <c r="A17" s="60">
        <v>13000000</v>
      </c>
      <c r="B17" s="42" t="s">
        <v>517</v>
      </c>
      <c r="C17" s="43">
        <f>C18</f>
        <v>244332.1</v>
      </c>
      <c r="D17" s="43" t="s">
        <v>242</v>
      </c>
      <c r="E17" s="43" t="s">
        <v>242</v>
      </c>
      <c r="F17" s="99">
        <f>F18</f>
        <v>244332.1</v>
      </c>
      <c r="G17" s="45"/>
    </row>
    <row r="18" spans="1:6" ht="12.75">
      <c r="A18" s="60">
        <v>13050000</v>
      </c>
      <c r="B18" s="42" t="s">
        <v>518</v>
      </c>
      <c r="C18" s="98">
        <f>234000+10332.1</f>
        <v>244332.1</v>
      </c>
      <c r="D18" s="43" t="s">
        <v>242</v>
      </c>
      <c r="E18" s="43" t="s">
        <v>242</v>
      </c>
      <c r="F18" s="99">
        <f>C18</f>
        <v>244332.1</v>
      </c>
    </row>
    <row r="19" spans="1:7" ht="13.5" customHeight="1">
      <c r="A19" s="60">
        <v>14000000</v>
      </c>
      <c r="B19" s="42" t="s">
        <v>519</v>
      </c>
      <c r="C19" s="43">
        <f>C20+C22+C23</f>
        <v>55025</v>
      </c>
      <c r="D19" s="43">
        <f>D24</f>
        <v>1599</v>
      </c>
      <c r="E19" s="43" t="s">
        <v>242</v>
      </c>
      <c r="F19" s="99">
        <f>C19+D19</f>
        <v>56624</v>
      </c>
      <c r="G19" s="45"/>
    </row>
    <row r="20" spans="1:6" ht="12" customHeight="1">
      <c r="A20" s="60">
        <v>14060200</v>
      </c>
      <c r="B20" s="42" t="s">
        <v>520</v>
      </c>
      <c r="C20" s="98">
        <v>11</v>
      </c>
      <c r="D20" s="43" t="s">
        <v>242</v>
      </c>
      <c r="E20" s="43" t="s">
        <v>242</v>
      </c>
      <c r="F20" s="99">
        <f>C20</f>
        <v>11</v>
      </c>
    </row>
    <row r="21" spans="1:6" ht="26.25" hidden="1">
      <c r="A21" s="60">
        <v>14060300</v>
      </c>
      <c r="B21" s="42" t="s">
        <v>521</v>
      </c>
      <c r="C21" s="40"/>
      <c r="D21" s="43" t="s">
        <v>242</v>
      </c>
      <c r="E21" s="43" t="s">
        <v>242</v>
      </c>
      <c r="F21" s="99">
        <f>C21</f>
        <v>0</v>
      </c>
    </row>
    <row r="22" spans="1:6" ht="38.25">
      <c r="A22" s="60" t="s">
        <v>59</v>
      </c>
      <c r="B22" s="42" t="s">
        <v>361</v>
      </c>
      <c r="C22" s="98">
        <v>14</v>
      </c>
      <c r="D22" s="43" t="s">
        <v>242</v>
      </c>
      <c r="E22" s="43" t="s">
        <v>242</v>
      </c>
      <c r="F22" s="99">
        <f>C22</f>
        <v>14</v>
      </c>
    </row>
    <row r="23" spans="1:7" ht="25.5">
      <c r="A23" s="60">
        <v>14061100</v>
      </c>
      <c r="B23" s="42" t="s">
        <v>522</v>
      </c>
      <c r="C23" s="98">
        <v>55000</v>
      </c>
      <c r="D23" s="43" t="s">
        <v>242</v>
      </c>
      <c r="E23" s="43" t="s">
        <v>242</v>
      </c>
      <c r="F23" s="99">
        <f>C23</f>
        <v>55000</v>
      </c>
      <c r="G23" s="45"/>
    </row>
    <row r="24" spans="1:6" ht="25.5">
      <c r="A24" s="60">
        <v>14070000</v>
      </c>
      <c r="B24" s="42" t="s">
        <v>0</v>
      </c>
      <c r="C24" s="43" t="s">
        <v>242</v>
      </c>
      <c r="D24" s="43">
        <f>D25</f>
        <v>1599</v>
      </c>
      <c r="E24" s="43" t="s">
        <v>242</v>
      </c>
      <c r="F24" s="99">
        <f>F25</f>
        <v>1599</v>
      </c>
    </row>
    <row r="25" spans="1:6" ht="39" customHeight="1">
      <c r="A25" s="60">
        <v>14071500</v>
      </c>
      <c r="B25" s="42" t="s">
        <v>1</v>
      </c>
      <c r="C25" s="43" t="s">
        <v>242</v>
      </c>
      <c r="D25" s="98">
        <v>1599</v>
      </c>
      <c r="E25" s="43" t="s">
        <v>242</v>
      </c>
      <c r="F25" s="99">
        <f>D25</f>
        <v>1599</v>
      </c>
    </row>
    <row r="26" spans="1:7" s="93" customFormat="1" ht="12.75">
      <c r="A26" s="59">
        <v>20000000</v>
      </c>
      <c r="B26" s="100" t="s">
        <v>2</v>
      </c>
      <c r="C26" s="101">
        <f>C27+C30+C32</f>
        <v>6600</v>
      </c>
      <c r="D26" s="101">
        <f>D27+D32+D38</f>
        <v>82720.5</v>
      </c>
      <c r="E26" s="101" t="s">
        <v>242</v>
      </c>
      <c r="F26" s="102">
        <f>C26+D26</f>
        <v>89320.5</v>
      </c>
      <c r="G26" s="107"/>
    </row>
    <row r="27" spans="1:7" ht="25.5">
      <c r="A27" s="60">
        <v>21000000</v>
      </c>
      <c r="B27" s="42" t="s">
        <v>3</v>
      </c>
      <c r="C27" s="43">
        <f>C28</f>
        <v>500</v>
      </c>
      <c r="D27" s="43">
        <f>D29</f>
        <v>2908.4</v>
      </c>
      <c r="E27" s="43" t="s">
        <v>242</v>
      </c>
      <c r="F27" s="99">
        <f>C27+D27</f>
        <v>3408.4</v>
      </c>
      <c r="G27" s="45"/>
    </row>
    <row r="28" spans="1:6" ht="26.25" customHeight="1">
      <c r="A28" s="60" t="s">
        <v>351</v>
      </c>
      <c r="B28" s="42" t="s">
        <v>298</v>
      </c>
      <c r="C28" s="43">
        <v>500</v>
      </c>
      <c r="D28" s="43" t="s">
        <v>242</v>
      </c>
      <c r="E28" s="43" t="s">
        <v>242</v>
      </c>
      <c r="F28" s="99">
        <f>C28</f>
        <v>500</v>
      </c>
    </row>
    <row r="29" spans="1:6" ht="25.5">
      <c r="A29" s="60">
        <v>21110000</v>
      </c>
      <c r="B29" s="42" t="s">
        <v>299</v>
      </c>
      <c r="C29" s="43" t="s">
        <v>242</v>
      </c>
      <c r="D29" s="43">
        <v>2908.4</v>
      </c>
      <c r="E29" s="43" t="s">
        <v>242</v>
      </c>
      <c r="F29" s="99">
        <f>D29</f>
        <v>2908.4</v>
      </c>
    </row>
    <row r="30" spans="1:8" ht="25.5">
      <c r="A30" s="60">
        <v>22000000</v>
      </c>
      <c r="B30" s="42" t="s">
        <v>4</v>
      </c>
      <c r="C30" s="43">
        <f>C31</f>
        <v>5000</v>
      </c>
      <c r="D30" s="43" t="s">
        <v>242</v>
      </c>
      <c r="E30" s="43" t="s">
        <v>242</v>
      </c>
      <c r="F30" s="99">
        <f>C30</f>
        <v>5000</v>
      </c>
      <c r="G30" s="45"/>
      <c r="H30" s="45"/>
    </row>
    <row r="31" spans="1:6" ht="36" customHeight="1">
      <c r="A31" s="60">
        <v>22080000</v>
      </c>
      <c r="B31" s="103" t="s">
        <v>362</v>
      </c>
      <c r="C31" s="98">
        <v>5000</v>
      </c>
      <c r="D31" s="43" t="s">
        <v>242</v>
      </c>
      <c r="E31" s="43" t="s">
        <v>242</v>
      </c>
      <c r="F31" s="99">
        <f>C31</f>
        <v>5000</v>
      </c>
    </row>
    <row r="32" spans="1:7" ht="12" customHeight="1">
      <c r="A32" s="60">
        <v>24000000</v>
      </c>
      <c r="B32" s="42" t="s">
        <v>5</v>
      </c>
      <c r="C32" s="98">
        <f>C35</f>
        <v>1100</v>
      </c>
      <c r="D32" s="43">
        <f>D37+D36</f>
        <v>953.2</v>
      </c>
      <c r="E32" s="43" t="s">
        <v>242</v>
      </c>
      <c r="F32" s="99">
        <f>C32+D32</f>
        <v>2053.2</v>
      </c>
      <c r="G32" s="45"/>
    </row>
    <row r="33" spans="1:6" ht="0.75" customHeight="1" hidden="1">
      <c r="A33" s="60"/>
      <c r="B33" s="42"/>
      <c r="C33" s="43">
        <v>0</v>
      </c>
      <c r="D33" s="43" t="s">
        <v>242</v>
      </c>
      <c r="E33" s="43" t="s">
        <v>242</v>
      </c>
      <c r="F33" s="99">
        <v>0</v>
      </c>
    </row>
    <row r="34" spans="1:6" ht="0.75" customHeight="1" hidden="1">
      <c r="A34" s="60">
        <v>24030000</v>
      </c>
      <c r="B34" s="42" t="s">
        <v>13</v>
      </c>
      <c r="C34" s="104" t="s">
        <v>242</v>
      </c>
      <c r="D34" s="104" t="s">
        <v>242</v>
      </c>
      <c r="E34" s="104" t="s">
        <v>242</v>
      </c>
      <c r="F34" s="105" t="s">
        <v>242</v>
      </c>
    </row>
    <row r="35" spans="1:6" ht="12.75">
      <c r="A35" s="60">
        <v>24060300</v>
      </c>
      <c r="B35" s="42" t="s">
        <v>6</v>
      </c>
      <c r="C35" s="43">
        <v>1100</v>
      </c>
      <c r="D35" s="43" t="s">
        <v>242</v>
      </c>
      <c r="E35" s="43" t="s">
        <v>242</v>
      </c>
      <c r="F35" s="99">
        <f>C35</f>
        <v>1100</v>
      </c>
    </row>
    <row r="36" spans="1:6" ht="38.25">
      <c r="A36" s="60" t="s">
        <v>258</v>
      </c>
      <c r="B36" s="42" t="s">
        <v>363</v>
      </c>
      <c r="C36" s="43" t="s">
        <v>259</v>
      </c>
      <c r="D36" s="43">
        <v>755.4</v>
      </c>
      <c r="E36" s="43" t="s">
        <v>259</v>
      </c>
      <c r="F36" s="99">
        <f>D36</f>
        <v>755.4</v>
      </c>
    </row>
    <row r="37" spans="1:6" ht="24" customHeight="1">
      <c r="A37" s="60" t="s">
        <v>60</v>
      </c>
      <c r="B37" s="103" t="s">
        <v>63</v>
      </c>
      <c r="C37" s="43" t="s">
        <v>242</v>
      </c>
      <c r="D37" s="43">
        <v>197.8</v>
      </c>
      <c r="E37" s="98" t="s">
        <v>242</v>
      </c>
      <c r="F37" s="99">
        <f>D37</f>
        <v>197.8</v>
      </c>
    </row>
    <row r="38" spans="1:7" ht="12.75">
      <c r="A38" s="60">
        <v>25000000</v>
      </c>
      <c r="B38" s="42" t="s">
        <v>7</v>
      </c>
      <c r="C38" s="43" t="s">
        <v>242</v>
      </c>
      <c r="D38" s="43">
        <f>79056.7-197.8</f>
        <v>78858.9</v>
      </c>
      <c r="E38" s="43" t="s">
        <v>242</v>
      </c>
      <c r="F38" s="99">
        <f>D38</f>
        <v>78858.9</v>
      </c>
      <c r="G38" s="45"/>
    </row>
    <row r="39" spans="1:7" s="93" customFormat="1" ht="38.25">
      <c r="A39" s="60">
        <v>31030000</v>
      </c>
      <c r="B39" s="42" t="s">
        <v>300</v>
      </c>
      <c r="C39" s="43" t="s">
        <v>242</v>
      </c>
      <c r="D39" s="98">
        <f>21946.7+3250</f>
        <v>25196.7</v>
      </c>
      <c r="E39" s="98">
        <f>21946.7+3250</f>
        <v>25196.7</v>
      </c>
      <c r="F39" s="99">
        <f>D39</f>
        <v>25196.7</v>
      </c>
      <c r="G39" s="107"/>
    </row>
    <row r="40" spans="1:7" ht="12.75">
      <c r="A40" s="60">
        <v>50080000</v>
      </c>
      <c r="B40" s="42" t="s">
        <v>8</v>
      </c>
      <c r="C40" s="43" t="s">
        <v>242</v>
      </c>
      <c r="D40" s="98">
        <f>150564-118.8</f>
        <v>150445.2</v>
      </c>
      <c r="E40" s="43" t="s">
        <v>242</v>
      </c>
      <c r="F40" s="99">
        <f>D40</f>
        <v>150445.2</v>
      </c>
      <c r="G40" s="45">
        <f>F40+F36</f>
        <v>151200.6</v>
      </c>
    </row>
    <row r="41" spans="1:8" s="93" customFormat="1" ht="12.75">
      <c r="A41" s="409" t="s">
        <v>9</v>
      </c>
      <c r="B41" s="410"/>
      <c r="C41" s="106">
        <f>C10+C26</f>
        <v>1696524.5</v>
      </c>
      <c r="D41" s="106">
        <f>D10+D26+D39+D40</f>
        <v>302461.4</v>
      </c>
      <c r="E41" s="101">
        <f>E39</f>
        <v>25196.7</v>
      </c>
      <c r="F41" s="102">
        <f>C41+D41</f>
        <v>1998985.9</v>
      </c>
      <c r="H41" s="107"/>
    </row>
    <row r="42" spans="1:6" s="93" customFormat="1" ht="12.75">
      <c r="A42" s="59"/>
      <c r="B42" s="100"/>
      <c r="C42" s="106"/>
      <c r="D42" s="106"/>
      <c r="E42" s="101"/>
      <c r="F42" s="102"/>
    </row>
    <row r="43" spans="1:7" ht="12.75">
      <c r="A43" s="59">
        <v>40000000</v>
      </c>
      <c r="B43" s="100" t="s">
        <v>10</v>
      </c>
      <c r="C43" s="101">
        <f>C44+C45+C46</f>
        <v>2933801.3029999994</v>
      </c>
      <c r="D43" s="101">
        <f>D46+D64</f>
        <v>983895.647</v>
      </c>
      <c r="E43" s="101">
        <f>E46+E64</f>
        <v>77429.3</v>
      </c>
      <c r="F43" s="102">
        <f>C43+D43</f>
        <v>3917696.9499999993</v>
      </c>
      <c r="G43" s="45">
        <f>C44+'№4'!X56+'№1'!C46</f>
        <v>2933801.3029999994</v>
      </c>
    </row>
    <row r="44" spans="1:6" ht="25.5">
      <c r="A44" s="60" t="s">
        <v>505</v>
      </c>
      <c r="B44" s="42" t="s">
        <v>364</v>
      </c>
      <c r="C44" s="43">
        <v>490266.4</v>
      </c>
      <c r="D44" s="43" t="s">
        <v>242</v>
      </c>
      <c r="E44" s="43" t="s">
        <v>242</v>
      </c>
      <c r="F44" s="99">
        <f>C44</f>
        <v>490266.4</v>
      </c>
    </row>
    <row r="45" spans="1:8" ht="36.75" customHeight="1">
      <c r="A45" s="60" t="s">
        <v>210</v>
      </c>
      <c r="B45" s="42" t="s">
        <v>365</v>
      </c>
      <c r="C45" s="43">
        <f>61927.5-46413.6+4947.8+26940.2+13000</f>
        <v>60401.9</v>
      </c>
      <c r="D45" s="43" t="s">
        <v>242</v>
      </c>
      <c r="E45" s="43" t="s">
        <v>242</v>
      </c>
      <c r="F45" s="99">
        <f>C45</f>
        <v>60401.9</v>
      </c>
      <c r="H45" s="45"/>
    </row>
    <row r="46" spans="1:8" ht="14.25" customHeight="1">
      <c r="A46" s="59">
        <v>41030000</v>
      </c>
      <c r="B46" s="100" t="s">
        <v>11</v>
      </c>
      <c r="C46" s="101">
        <f>C47+C48+C49+C50+C51+C53+C55+C56+C59+C60+C63+C58+C57+C61+C52</f>
        <v>2383133.0029999996</v>
      </c>
      <c r="D46" s="101">
        <f>D47+D48+D49+D50+D51+D53+D55+D56+D59+D60+D63+D58+D62</f>
        <v>906466.347</v>
      </c>
      <c r="E46" s="101">
        <f>E47+E48+E49+E50+E51+E53+E55+E56+E59+E60+E63</f>
        <v>0</v>
      </c>
      <c r="F46" s="102">
        <f>C46+D46</f>
        <v>3289599.3499999996</v>
      </c>
      <c r="G46" s="45">
        <f>F46-F47-F58</f>
        <v>3282966.8999999994</v>
      </c>
      <c r="H46" s="45"/>
    </row>
    <row r="47" spans="1:8" ht="39.75" customHeight="1">
      <c r="A47" s="60" t="s">
        <v>288</v>
      </c>
      <c r="B47" s="42" t="s">
        <v>303</v>
      </c>
      <c r="C47" s="43">
        <f>3310.294+2755+10+50-40</f>
        <v>6085.294</v>
      </c>
      <c r="D47" s="101"/>
      <c r="E47" s="101"/>
      <c r="F47" s="99">
        <f aca="true" t="shared" si="0" ref="F47:F54">C47+D47</f>
        <v>6085.294</v>
      </c>
      <c r="G47" s="45"/>
      <c r="H47" s="45"/>
    </row>
    <row r="48" spans="1:7" ht="52.5" customHeight="1">
      <c r="A48" s="60" t="s">
        <v>64</v>
      </c>
      <c r="B48" s="64" t="s">
        <v>506</v>
      </c>
      <c r="C48" s="43">
        <f>2017876.8-150000-14000-26000</f>
        <v>1827876.8</v>
      </c>
      <c r="D48" s="43"/>
      <c r="E48" s="43"/>
      <c r="F48" s="99">
        <f t="shared" si="0"/>
        <v>1827876.8</v>
      </c>
      <c r="G48" s="153"/>
    </row>
    <row r="49" spans="1:10" ht="80.25" customHeight="1">
      <c r="A49" s="110" t="s">
        <v>65</v>
      </c>
      <c r="B49" s="61" t="s">
        <v>367</v>
      </c>
      <c r="C49" s="131">
        <f>282034.7-4947.8-71726.7-14522</f>
        <v>190838.2</v>
      </c>
      <c r="D49" s="43">
        <f>435642.5-30265.7</f>
        <v>405376.8</v>
      </c>
      <c r="E49" s="43"/>
      <c r="F49" s="99">
        <f t="shared" si="0"/>
        <v>596215</v>
      </c>
      <c r="H49" s="44">
        <f>4947.8+71726.7</f>
        <v>76674.5</v>
      </c>
      <c r="J49" s="139"/>
    </row>
    <row r="50" spans="1:9" ht="144" customHeight="1">
      <c r="A50" s="60" t="s">
        <v>66</v>
      </c>
      <c r="B50" s="61" t="s">
        <v>366</v>
      </c>
      <c r="C50" s="43">
        <v>179074.7</v>
      </c>
      <c r="D50" s="43"/>
      <c r="E50" s="43"/>
      <c r="F50" s="99">
        <f t="shared" si="0"/>
        <v>179074.7</v>
      </c>
      <c r="H50" s="131"/>
      <c r="I50" s="43"/>
    </row>
    <row r="51" spans="1:8" ht="51">
      <c r="A51" s="110" t="s">
        <v>67</v>
      </c>
      <c r="B51" s="137" t="s">
        <v>46</v>
      </c>
      <c r="C51" s="131">
        <f>124139.9-69633.3-1207</f>
        <v>53299.59999999999</v>
      </c>
      <c r="D51" s="43"/>
      <c r="E51" s="43"/>
      <c r="F51" s="99">
        <f t="shared" si="0"/>
        <v>53299.59999999999</v>
      </c>
      <c r="H51" s="45"/>
    </row>
    <row r="52" spans="1:8" ht="51">
      <c r="A52" s="315" t="s">
        <v>465</v>
      </c>
      <c r="B52" s="61" t="s">
        <v>470</v>
      </c>
      <c r="C52" s="43">
        <v>3000</v>
      </c>
      <c r="D52" s="43"/>
      <c r="E52" s="43"/>
      <c r="F52" s="99">
        <f>C52+D52</f>
        <v>3000</v>
      </c>
      <c r="G52" s="45"/>
      <c r="H52" s="45"/>
    </row>
    <row r="53" spans="1:8" ht="41.25" customHeight="1">
      <c r="A53" s="315" t="s">
        <v>414</v>
      </c>
      <c r="B53" s="61" t="s">
        <v>415</v>
      </c>
      <c r="C53" s="43">
        <v>7780.4</v>
      </c>
      <c r="D53" s="43">
        <v>40000</v>
      </c>
      <c r="E53" s="43"/>
      <c r="F53" s="99">
        <f>C53+D53</f>
        <v>47780.4</v>
      </c>
      <c r="G53" s="45"/>
      <c r="H53" s="45"/>
    </row>
    <row r="54" spans="1:6" ht="57.75" customHeight="1" hidden="1">
      <c r="A54" s="60" t="s">
        <v>346</v>
      </c>
      <c r="B54" s="61" t="s">
        <v>368</v>
      </c>
      <c r="C54" s="43">
        <f>8010-8010</f>
        <v>0</v>
      </c>
      <c r="D54" s="43"/>
      <c r="E54" s="43"/>
      <c r="F54" s="99">
        <f t="shared" si="0"/>
        <v>0</v>
      </c>
    </row>
    <row r="55" spans="1:6" ht="103.5" customHeight="1">
      <c r="A55" s="60" t="s">
        <v>47</v>
      </c>
      <c r="B55" s="309" t="s">
        <v>217</v>
      </c>
      <c r="C55" s="43"/>
      <c r="D55" s="43">
        <v>9052.1</v>
      </c>
      <c r="E55" s="43"/>
      <c r="F55" s="99">
        <f>D55</f>
        <v>9052.1</v>
      </c>
    </row>
    <row r="56" spans="1:6" ht="41.25" customHeight="1">
      <c r="A56" s="60" t="s">
        <v>353</v>
      </c>
      <c r="B56" s="309" t="s">
        <v>355</v>
      </c>
      <c r="C56" s="43">
        <f>29100-3000</f>
        <v>26100</v>
      </c>
      <c r="D56" s="43">
        <f>42000-40000</f>
        <v>2000</v>
      </c>
      <c r="E56" s="43"/>
      <c r="F56" s="99">
        <f aca="true" t="shared" si="1" ref="F56:F63">C56+D56</f>
        <v>28100</v>
      </c>
    </row>
    <row r="57" spans="1:6" ht="52.5" customHeight="1">
      <c r="A57" s="60" t="s">
        <v>434</v>
      </c>
      <c r="B57" s="61" t="s">
        <v>368</v>
      </c>
      <c r="C57" s="43">
        <v>8010</v>
      </c>
      <c r="D57" s="43"/>
      <c r="E57" s="43"/>
      <c r="F57" s="99">
        <f t="shared" si="1"/>
        <v>8010</v>
      </c>
    </row>
    <row r="58" spans="1:6" ht="12.75">
      <c r="A58" s="60" t="s">
        <v>433</v>
      </c>
      <c r="B58" s="309" t="s">
        <v>14</v>
      </c>
      <c r="C58" s="43">
        <f>9.595+0.114+500</f>
        <v>509.709</v>
      </c>
      <c r="D58" s="43">
        <v>37.447</v>
      </c>
      <c r="E58" s="43"/>
      <c r="F58" s="99">
        <f t="shared" si="1"/>
        <v>547.156</v>
      </c>
    </row>
    <row r="59" spans="1:8" ht="93" customHeight="1">
      <c r="A59" s="60" t="s">
        <v>218</v>
      </c>
      <c r="B59" s="61" t="s">
        <v>500</v>
      </c>
      <c r="C59" s="43">
        <f>9365.7+1048.9+2500+602.3</f>
        <v>13516.9</v>
      </c>
      <c r="D59" s="43"/>
      <c r="E59" s="43"/>
      <c r="F59" s="99">
        <f t="shared" si="1"/>
        <v>13516.9</v>
      </c>
      <c r="G59" s="45"/>
      <c r="H59" s="45"/>
    </row>
    <row r="60" spans="1:8" ht="54" customHeight="1">
      <c r="A60" s="60" t="s">
        <v>40</v>
      </c>
      <c r="B60" s="61" t="s">
        <v>369</v>
      </c>
      <c r="C60" s="43">
        <f>1625-1452.5+1452.5</f>
        <v>1625</v>
      </c>
      <c r="D60" s="43"/>
      <c r="E60" s="43"/>
      <c r="F60" s="99">
        <f t="shared" si="1"/>
        <v>1625</v>
      </c>
      <c r="G60" s="45"/>
      <c r="H60" s="45"/>
    </row>
    <row r="61" spans="1:8" ht="121.5" customHeight="1">
      <c r="A61" s="60" t="s">
        <v>462</v>
      </c>
      <c r="B61" s="61" t="s">
        <v>463</v>
      </c>
      <c r="C61" s="43">
        <v>70</v>
      </c>
      <c r="D61" s="43"/>
      <c r="E61" s="43"/>
      <c r="F61" s="99">
        <f>C61+D61</f>
        <v>70</v>
      </c>
      <c r="G61" s="45"/>
      <c r="H61" s="45">
        <f>C61-'[1]№1'!$C$56</f>
        <v>-433.8</v>
      </c>
    </row>
    <row r="62" spans="1:8" ht="108" customHeight="1">
      <c r="A62" s="60" t="s">
        <v>212</v>
      </c>
      <c r="B62" s="61" t="s">
        <v>215</v>
      </c>
      <c r="C62" s="43"/>
      <c r="D62" s="43">
        <v>450000</v>
      </c>
      <c r="E62" s="43"/>
      <c r="F62" s="99">
        <f>C62+D62</f>
        <v>450000</v>
      </c>
      <c r="G62" s="45"/>
      <c r="H62" s="45"/>
    </row>
    <row r="63" spans="1:8" ht="40.5" customHeight="1">
      <c r="A63" s="60" t="s">
        <v>267</v>
      </c>
      <c r="B63" s="61" t="s">
        <v>352</v>
      </c>
      <c r="C63" s="43">
        <f>530.3+246.4-37.1+64606.8</f>
        <v>65346.4</v>
      </c>
      <c r="D63" s="43"/>
      <c r="E63" s="43"/>
      <c r="F63" s="99">
        <f t="shared" si="1"/>
        <v>65346.4</v>
      </c>
      <c r="G63" s="45"/>
      <c r="H63" s="45">
        <f>C63-'[1]№1'!$C$56</f>
        <v>64842.6</v>
      </c>
    </row>
    <row r="64" spans="1:6" ht="27" customHeight="1" thickBot="1">
      <c r="A64" s="307" t="s">
        <v>509</v>
      </c>
      <c r="B64" s="310" t="s">
        <v>370</v>
      </c>
      <c r="C64" s="165"/>
      <c r="D64" s="311">
        <f>E64</f>
        <v>77429.3</v>
      </c>
      <c r="E64" s="311">
        <f>75454.7+3912.3-11727.7+10000+6300-3250-10000+2000+540+1200+3000</f>
        <v>77429.3</v>
      </c>
      <c r="F64" s="312">
        <f>D64</f>
        <v>77429.3</v>
      </c>
    </row>
    <row r="65" spans="1:11" s="93" customFormat="1" ht="13.5" thickBot="1">
      <c r="A65" s="411" t="s">
        <v>12</v>
      </c>
      <c r="B65" s="412"/>
      <c r="C65" s="165">
        <f>C41+C43</f>
        <v>4630325.802999999</v>
      </c>
      <c r="D65" s="140">
        <f>D41+D43</f>
        <v>1286357.047</v>
      </c>
      <c r="E65" s="140">
        <f>E43+E41</f>
        <v>102626</v>
      </c>
      <c r="F65" s="141">
        <f>C65+D65</f>
        <v>5916682.85</v>
      </c>
      <c r="H65" s="107"/>
      <c r="K65" s="154"/>
    </row>
    <row r="66" spans="2:10" ht="12.75">
      <c r="B66" s="142"/>
      <c r="C66" s="143">
        <f>C65-'№2'!C113</f>
        <v>-91562.89700000081</v>
      </c>
      <c r="D66" s="143">
        <f>D65-'№2'!G113</f>
        <v>-38398.15299999993</v>
      </c>
      <c r="E66" s="144">
        <f>E65-'№2'!H113</f>
        <v>0</v>
      </c>
      <c r="F66" s="143">
        <f>F65-'№2'!J113</f>
        <v>-129961.04999999981</v>
      </c>
      <c r="G66" s="144"/>
      <c r="H66" s="144"/>
      <c r="J66" s="45"/>
    </row>
    <row r="67" spans="2:10" ht="12.75">
      <c r="B67" s="142"/>
      <c r="C67" s="143">
        <f>C65-'[3]№1'!$C$62</f>
        <v>-296783.597000001</v>
      </c>
      <c r="D67" s="143"/>
      <c r="E67" s="143"/>
      <c r="F67" s="143">
        <f>F65-'[3]№1'!$F$62</f>
        <v>125831.94999999925</v>
      </c>
      <c r="G67" s="144"/>
      <c r="H67" s="145"/>
      <c r="J67" s="45"/>
    </row>
    <row r="68" spans="2:10" ht="12.75">
      <c r="B68" s="142"/>
      <c r="C68" s="143"/>
      <c r="D68" s="143"/>
      <c r="E68" s="143"/>
      <c r="F68" s="143"/>
      <c r="G68" s="144"/>
      <c r="H68" s="145"/>
      <c r="J68" s="45"/>
    </row>
    <row r="69" spans="2:10" ht="12.75">
      <c r="B69" s="142"/>
      <c r="C69" s="143">
        <f>C65-'[1]№1'!$C$58</f>
        <v>-192514.79700000025</v>
      </c>
      <c r="D69" s="143">
        <f>D65-'[1]№1'!$D$58</f>
        <v>464495.1470000001</v>
      </c>
      <c r="E69" s="143">
        <f>E65-'[1]№1'!$E$58</f>
        <v>3040</v>
      </c>
      <c r="F69" s="143">
        <f>F65-'[1]№1'!$F$58</f>
        <v>271980.3499999996</v>
      </c>
      <c r="G69" s="144"/>
      <c r="H69" s="145"/>
      <c r="J69" s="45"/>
    </row>
    <row r="70" spans="2:8" ht="12.75">
      <c r="B70" s="142"/>
      <c r="C70" s="146"/>
      <c r="D70" s="146">
        <f>E64-D64</f>
        <v>0</v>
      </c>
      <c r="E70" s="146"/>
      <c r="F70" s="146"/>
      <c r="G70" s="144"/>
      <c r="H70" s="145"/>
    </row>
    <row r="71" spans="2:8" ht="12.75">
      <c r="B71" s="142"/>
      <c r="C71" s="146"/>
      <c r="D71" s="146"/>
      <c r="E71" s="146"/>
      <c r="F71" s="146"/>
      <c r="G71" s="144"/>
      <c r="H71" s="145"/>
    </row>
    <row r="72" spans="2:8" ht="12.75">
      <c r="B72" s="142"/>
      <c r="C72" s="146"/>
      <c r="D72" s="146"/>
      <c r="E72" s="146"/>
      <c r="F72" s="146"/>
      <c r="G72" s="144"/>
      <c r="H72" s="145"/>
    </row>
    <row r="73" spans="2:8" ht="12.75">
      <c r="B73" s="142"/>
      <c r="C73" s="146"/>
      <c r="D73" s="146"/>
      <c r="E73" s="146"/>
      <c r="F73" s="146"/>
      <c r="G73" s="145"/>
      <c r="H73" s="145"/>
    </row>
    <row r="74" spans="2:8" ht="12.75">
      <c r="B74" s="147"/>
      <c r="C74" s="146"/>
      <c r="D74" s="146"/>
      <c r="E74" s="146"/>
      <c r="F74" s="146"/>
      <c r="G74" s="145"/>
      <c r="H74" s="145"/>
    </row>
    <row r="75" spans="2:8" ht="12">
      <c r="B75" s="147"/>
      <c r="C75" s="145"/>
      <c r="D75" s="145"/>
      <c r="E75" s="145"/>
      <c r="F75" s="145"/>
      <c r="G75" s="145"/>
      <c r="H75" s="145"/>
    </row>
    <row r="76" spans="2:8" ht="12">
      <c r="B76" s="148"/>
      <c r="C76" s="144"/>
      <c r="D76" s="145"/>
      <c r="E76" s="145"/>
      <c r="F76" s="144"/>
      <c r="G76" s="145"/>
      <c r="H76" s="145"/>
    </row>
    <row r="77" spans="2:8" ht="12">
      <c r="B77" s="147"/>
      <c r="C77" s="145"/>
      <c r="D77" s="145"/>
      <c r="E77" s="145"/>
      <c r="F77" s="145"/>
      <c r="G77" s="145"/>
      <c r="H77" s="145"/>
    </row>
    <row r="78" spans="2:8" ht="12">
      <c r="B78" s="147"/>
      <c r="C78" s="144"/>
      <c r="D78" s="145"/>
      <c r="E78" s="145"/>
      <c r="F78" s="145"/>
      <c r="G78" s="145"/>
      <c r="H78" s="155"/>
    </row>
    <row r="79" spans="2:8" ht="12">
      <c r="B79" s="147"/>
      <c r="C79" s="145"/>
      <c r="D79" s="145"/>
      <c r="E79" s="145"/>
      <c r="F79" s="145"/>
      <c r="G79" s="145"/>
      <c r="H79" s="155"/>
    </row>
    <row r="80" spans="2:8" ht="12">
      <c r="B80" s="147"/>
      <c r="C80" s="145"/>
      <c r="D80" s="145"/>
      <c r="E80" s="145"/>
      <c r="F80" s="145"/>
      <c r="G80" s="145"/>
      <c r="H80" s="155"/>
    </row>
    <row r="81" spans="2:8" ht="12">
      <c r="B81" s="147"/>
      <c r="C81" s="145"/>
      <c r="D81" s="145"/>
      <c r="E81" s="145"/>
      <c r="F81" s="145"/>
      <c r="G81" s="145"/>
      <c r="H81" s="155"/>
    </row>
    <row r="82" spans="2:8" ht="12">
      <c r="B82" s="147"/>
      <c r="C82" s="145"/>
      <c r="D82" s="145"/>
      <c r="E82" s="145"/>
      <c r="F82" s="145"/>
      <c r="G82" s="145"/>
      <c r="H82" s="145"/>
    </row>
    <row r="83" spans="2:8" ht="12">
      <c r="B83" s="147"/>
      <c r="C83" s="145"/>
      <c r="D83" s="145"/>
      <c r="E83" s="145"/>
      <c r="F83" s="145"/>
      <c r="G83" s="145"/>
      <c r="H83" s="145"/>
    </row>
    <row r="84" ht="12">
      <c r="D84" s="45"/>
    </row>
  </sheetData>
  <mergeCells count="11">
    <mergeCell ref="D1:F1"/>
    <mergeCell ref="D2:F2"/>
    <mergeCell ref="D3:F3"/>
    <mergeCell ref="A4:F4"/>
    <mergeCell ref="D7:E7"/>
    <mergeCell ref="F7:F8"/>
    <mergeCell ref="A41:B41"/>
    <mergeCell ref="A65:B65"/>
    <mergeCell ref="A7:A8"/>
    <mergeCell ref="B7:B8"/>
    <mergeCell ref="C7:C8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01"/>
  <sheetViews>
    <sheetView view="pageBreakPreview" zoomScale="90" zoomScaleSheetLayoutView="90" workbookViewId="0" topLeftCell="A1">
      <selection activeCell="F3" sqref="F3:H3"/>
    </sheetView>
  </sheetViews>
  <sheetFormatPr defaultColWidth="9.00390625" defaultRowHeight="12.75"/>
  <cols>
    <col min="1" max="1" width="7.375" style="52" customWidth="1"/>
    <col min="2" max="2" width="47.625" style="2" customWidth="1"/>
    <col min="3" max="3" width="10.625" style="3" customWidth="1"/>
    <col min="4" max="4" width="10.00390625" style="3" customWidth="1"/>
    <col min="5" max="5" width="9.375" style="3" customWidth="1"/>
    <col min="6" max="6" width="10.375" style="3" customWidth="1"/>
    <col min="7" max="7" width="10.00390625" style="3" customWidth="1"/>
    <col min="8" max="8" width="10.25390625" style="3" customWidth="1"/>
    <col min="9" max="9" width="9.875" style="3" hidden="1" customWidth="1"/>
    <col min="10" max="10" width="12.125" style="3" customWidth="1"/>
    <col min="11" max="11" width="10.625" style="3" customWidth="1"/>
    <col min="12" max="12" width="13.875" style="3" customWidth="1"/>
    <col min="13" max="13" width="14.00390625" style="3" customWidth="1"/>
    <col min="14" max="14" width="15.875" style="3" customWidth="1"/>
    <col min="15" max="16384" width="8.875" style="3" customWidth="1"/>
  </cols>
  <sheetData>
    <row r="1" spans="6:9" ht="15" customHeight="1">
      <c r="F1" s="419" t="s">
        <v>146</v>
      </c>
      <c r="G1" s="419"/>
      <c r="H1" s="419"/>
      <c r="I1" s="4"/>
    </row>
    <row r="2" spans="6:9" ht="13.5" customHeight="1">
      <c r="F2" s="419" t="s">
        <v>147</v>
      </c>
      <c r="G2" s="419"/>
      <c r="H2" s="419"/>
      <c r="I2" s="5"/>
    </row>
    <row r="3" spans="6:9" ht="13.5" customHeight="1">
      <c r="F3" s="524" t="s">
        <v>61</v>
      </c>
      <c r="G3" s="419"/>
      <c r="H3" s="419"/>
      <c r="I3" s="164"/>
    </row>
    <row r="5" spans="2:7" ht="13.5" customHeight="1">
      <c r="B5" s="1"/>
      <c r="C5" s="6"/>
      <c r="D5" s="6"/>
      <c r="E5" s="6"/>
      <c r="F5" s="6"/>
      <c r="G5" s="6"/>
    </row>
    <row r="6" spans="1:10" ht="15.75">
      <c r="A6" s="423" t="s">
        <v>254</v>
      </c>
      <c r="B6" s="423"/>
      <c r="C6" s="423"/>
      <c r="D6" s="423"/>
      <c r="E6" s="423"/>
      <c r="F6" s="423"/>
      <c r="G6" s="423"/>
      <c r="H6" s="423"/>
      <c r="I6" s="423"/>
      <c r="J6" s="423"/>
    </row>
    <row r="7" spans="1:11" ht="15" customHeight="1">
      <c r="A7" s="423" t="s">
        <v>148</v>
      </c>
      <c r="B7" s="423"/>
      <c r="C7" s="423"/>
      <c r="D7" s="423"/>
      <c r="E7" s="423"/>
      <c r="F7" s="423"/>
      <c r="G7" s="423"/>
      <c r="H7" s="423"/>
      <c r="I7" s="423"/>
      <c r="J7" s="423"/>
      <c r="K7" s="7"/>
    </row>
    <row r="8" spans="6:11" ht="13.5" thickBot="1">
      <c r="F8" s="8"/>
      <c r="H8" s="9"/>
      <c r="I8" s="10"/>
      <c r="J8" s="3" t="s">
        <v>15</v>
      </c>
      <c r="K8" s="7"/>
    </row>
    <row r="9" spans="1:11" ht="25.5" customHeight="1" thickBot="1">
      <c r="A9" s="424" t="s">
        <v>149</v>
      </c>
      <c r="B9" s="427" t="s">
        <v>150</v>
      </c>
      <c r="C9" s="429" t="s">
        <v>151</v>
      </c>
      <c r="D9" s="430"/>
      <c r="E9" s="430"/>
      <c r="F9" s="430"/>
      <c r="G9" s="431" t="s">
        <v>152</v>
      </c>
      <c r="H9" s="432"/>
      <c r="I9" s="433"/>
      <c r="J9" s="434" t="s">
        <v>153</v>
      </c>
      <c r="K9" s="11"/>
    </row>
    <row r="10" spans="1:11" ht="24" customHeight="1" thickBot="1">
      <c r="A10" s="425"/>
      <c r="B10" s="428"/>
      <c r="C10" s="397" t="s">
        <v>154</v>
      </c>
      <c r="D10" s="397" t="s">
        <v>155</v>
      </c>
      <c r="E10" s="399"/>
      <c r="F10" s="399"/>
      <c r="G10" s="398" t="s">
        <v>154</v>
      </c>
      <c r="H10" s="12" t="s">
        <v>156</v>
      </c>
      <c r="I10" s="404" t="s">
        <v>157</v>
      </c>
      <c r="J10" s="435"/>
      <c r="K10" s="11"/>
    </row>
    <row r="11" spans="1:17" ht="110.25" customHeight="1" thickBot="1">
      <c r="A11" s="426"/>
      <c r="B11" s="428"/>
      <c r="C11" s="398"/>
      <c r="D11" s="152" t="s">
        <v>158</v>
      </c>
      <c r="E11" s="13" t="s">
        <v>159</v>
      </c>
      <c r="F11" s="13" t="s">
        <v>160</v>
      </c>
      <c r="G11" s="398"/>
      <c r="H11" s="13" t="s">
        <v>161</v>
      </c>
      <c r="I11" s="391"/>
      <c r="J11" s="436"/>
      <c r="K11" s="11"/>
      <c r="L11" s="7"/>
      <c r="Q11" s="3" t="s">
        <v>197</v>
      </c>
    </row>
    <row r="12" spans="1:12" ht="14.25" customHeight="1" thickBot="1">
      <c r="A12" s="53">
        <v>1</v>
      </c>
      <c r="B12" s="14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10</v>
      </c>
      <c r="J12" s="276">
        <v>9</v>
      </c>
      <c r="K12" s="7"/>
      <c r="L12" s="7"/>
    </row>
    <row r="13" spans="1:12" s="16" customFormat="1" ht="15.75" customHeight="1">
      <c r="A13" s="114" t="s">
        <v>162</v>
      </c>
      <c r="B13" s="115" t="s">
        <v>163</v>
      </c>
      <c r="C13" s="72">
        <f aca="true" t="shared" si="0" ref="C13:I13">C14</f>
        <v>18045</v>
      </c>
      <c r="D13" s="72">
        <f>D14</f>
        <v>5148</v>
      </c>
      <c r="E13" s="72">
        <f t="shared" si="0"/>
        <v>3655.3999999999996</v>
      </c>
      <c r="F13" s="72">
        <f t="shared" si="0"/>
        <v>9241.6</v>
      </c>
      <c r="G13" s="72">
        <f t="shared" si="0"/>
        <v>150</v>
      </c>
      <c r="H13" s="125">
        <f t="shared" si="0"/>
        <v>0</v>
      </c>
      <c r="I13" s="125">
        <f t="shared" si="0"/>
        <v>0</v>
      </c>
      <c r="J13" s="72">
        <f>C13+G13</f>
        <v>18195</v>
      </c>
      <c r="K13" s="273"/>
      <c r="L13" s="24"/>
    </row>
    <row r="14" spans="1:12" ht="12.75">
      <c r="A14" s="112" t="s">
        <v>164</v>
      </c>
      <c r="B14" s="113" t="s">
        <v>165</v>
      </c>
      <c r="C14" s="108">
        <f>D14+E14+F14</f>
        <v>18045</v>
      </c>
      <c r="D14" s="108">
        <v>5148</v>
      </c>
      <c r="E14" s="108">
        <f>4732.9-681.5-396</f>
        <v>3655.3999999999996</v>
      </c>
      <c r="F14" s="108">
        <f>11164.1-2318.5+720-720+396</f>
        <v>9241.6</v>
      </c>
      <c r="G14" s="108">
        <v>150</v>
      </c>
      <c r="H14" s="126"/>
      <c r="I14" s="126"/>
      <c r="J14" s="108">
        <f>C14+G14</f>
        <v>18195</v>
      </c>
      <c r="K14" s="7"/>
      <c r="L14" s="24"/>
    </row>
    <row r="15" spans="1:12" s="18" customFormat="1" ht="13.5" customHeight="1">
      <c r="A15" s="54" t="s">
        <v>169</v>
      </c>
      <c r="B15" s="57" t="s">
        <v>170</v>
      </c>
      <c r="C15" s="58">
        <f>D15+E15+F15</f>
        <v>570262.9</v>
      </c>
      <c r="D15" s="58">
        <v>196720.4</v>
      </c>
      <c r="E15" s="58">
        <v>56196.9</v>
      </c>
      <c r="F15" s="58">
        <f>F16+315435.2+202.7+1000+608.7</f>
        <v>317345.60000000003</v>
      </c>
      <c r="G15" s="58">
        <v>10560.1</v>
      </c>
      <c r="H15" s="58"/>
      <c r="I15" s="58"/>
      <c r="J15" s="58">
        <f>C15+G15</f>
        <v>580823</v>
      </c>
      <c r="K15" s="19"/>
      <c r="L15" s="24"/>
    </row>
    <row r="16" spans="1:58" ht="26.25" customHeight="1">
      <c r="A16" s="55" t="s">
        <v>145</v>
      </c>
      <c r="B16" s="20" t="s">
        <v>389</v>
      </c>
      <c r="C16" s="26">
        <f>F16</f>
        <v>99</v>
      </c>
      <c r="D16" s="21"/>
      <c r="E16" s="21"/>
      <c r="F16" s="21">
        <f>103.5-4.5</f>
        <v>99</v>
      </c>
      <c r="G16" s="21"/>
      <c r="H16" s="21"/>
      <c r="I16" s="21"/>
      <c r="J16" s="21">
        <f>C16</f>
        <v>99</v>
      </c>
      <c r="K16" s="75"/>
      <c r="L16" s="24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12" s="18" customFormat="1" ht="16.5" customHeight="1">
      <c r="A17" s="54" t="s">
        <v>171</v>
      </c>
      <c r="B17" s="57" t="s">
        <v>172</v>
      </c>
      <c r="C17" s="58">
        <f>D17+E17+F17</f>
        <v>1113055.4</v>
      </c>
      <c r="D17" s="58">
        <v>443796.3</v>
      </c>
      <c r="E17" s="58">
        <f>94998.3-5000-4122.1</f>
        <v>85876.2</v>
      </c>
      <c r="F17" s="58">
        <f>532767.9+3000-2000+3000+3000+1800+18000-1000+4000+2700+182.5+5530+500+4122.1+7780.4</f>
        <v>583382.9</v>
      </c>
      <c r="G17" s="58">
        <f>30057.9+40000</f>
        <v>70057.9</v>
      </c>
      <c r="H17" s="127">
        <f>10000-10000</f>
        <v>0</v>
      </c>
      <c r="I17" s="127"/>
      <c r="J17" s="58">
        <f>C17+G17</f>
        <v>1183113.2999999998</v>
      </c>
      <c r="K17" s="24"/>
      <c r="L17" s="24"/>
    </row>
    <row r="18" spans="1:12" s="18" customFormat="1" ht="13.5" customHeight="1">
      <c r="A18" s="54"/>
      <c r="B18" s="129" t="s">
        <v>70</v>
      </c>
      <c r="C18" s="156"/>
      <c r="D18" s="58"/>
      <c r="E18" s="58"/>
      <c r="F18" s="58"/>
      <c r="G18" s="58"/>
      <c r="H18" s="127"/>
      <c r="I18" s="127"/>
      <c r="J18" s="58"/>
      <c r="K18" s="24"/>
      <c r="L18" s="24"/>
    </row>
    <row r="19" spans="1:12" s="18" customFormat="1" ht="25.5">
      <c r="A19" s="55" t="s">
        <v>211</v>
      </c>
      <c r="B19" s="36" t="s">
        <v>371</v>
      </c>
      <c r="C19" s="26">
        <f aca="true" t="shared" si="1" ref="C19:C32">D19+E19+F19</f>
        <v>38398</v>
      </c>
      <c r="D19" s="21"/>
      <c r="E19" s="21"/>
      <c r="F19" s="21">
        <v>38398</v>
      </c>
      <c r="G19" s="21"/>
      <c r="H19" s="21"/>
      <c r="I19" s="21"/>
      <c r="J19" s="21">
        <f aca="true" t="shared" si="2" ref="J19:J60">C19+G19</f>
        <v>38398</v>
      </c>
      <c r="K19" s="24"/>
      <c r="L19" s="24"/>
    </row>
    <row r="20" spans="1:59" ht="51">
      <c r="A20" s="55" t="s">
        <v>396</v>
      </c>
      <c r="B20" s="36" t="s">
        <v>395</v>
      </c>
      <c r="C20" s="26">
        <f t="shared" si="1"/>
        <v>19800</v>
      </c>
      <c r="D20" s="21"/>
      <c r="E20" s="21"/>
      <c r="F20" s="21">
        <f>1800+18000</f>
        <v>19800</v>
      </c>
      <c r="G20" s="21"/>
      <c r="H20" s="21"/>
      <c r="I20" s="21"/>
      <c r="J20" s="21">
        <f t="shared" si="2"/>
        <v>19800</v>
      </c>
      <c r="K20" s="63">
        <f>C20+H20</f>
        <v>19800</v>
      </c>
      <c r="L20" s="316"/>
      <c r="M20" s="23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ht="38.25" hidden="1">
      <c r="A21" s="317" t="s">
        <v>360</v>
      </c>
      <c r="B21" s="36" t="s">
        <v>356</v>
      </c>
      <c r="C21" s="26">
        <f t="shared" si="1"/>
        <v>0</v>
      </c>
      <c r="D21" s="21"/>
      <c r="E21" s="21"/>
      <c r="F21" s="21"/>
      <c r="G21" s="21"/>
      <c r="H21" s="21"/>
      <c r="I21" s="21"/>
      <c r="J21" s="21">
        <f t="shared" si="2"/>
        <v>0</v>
      </c>
      <c r="K21" s="143"/>
      <c r="L21" s="75"/>
      <c r="M21" s="24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1:12" s="18" customFormat="1" ht="63.75">
      <c r="A22" s="400" t="s">
        <v>357</v>
      </c>
      <c r="B22" s="36" t="s">
        <v>339</v>
      </c>
      <c r="C22" s="26">
        <f t="shared" si="1"/>
        <v>3000</v>
      </c>
      <c r="D22" s="21"/>
      <c r="E22" s="21"/>
      <c r="F22" s="21">
        <v>3000</v>
      </c>
      <c r="G22" s="21"/>
      <c r="H22" s="21"/>
      <c r="I22" s="21"/>
      <c r="J22" s="21">
        <f t="shared" si="2"/>
        <v>3000</v>
      </c>
      <c r="K22" s="24"/>
      <c r="L22" s="24"/>
    </row>
    <row r="23" spans="1:12" s="18" customFormat="1" ht="55.5" customHeight="1">
      <c r="A23" s="401"/>
      <c r="B23" s="309" t="s">
        <v>72</v>
      </c>
      <c r="C23" s="26"/>
      <c r="D23" s="21"/>
      <c r="E23" s="21"/>
      <c r="F23" s="21"/>
      <c r="G23" s="21">
        <v>40000</v>
      </c>
      <c r="H23" s="21"/>
      <c r="I23" s="21"/>
      <c r="J23" s="21">
        <f t="shared" si="2"/>
        <v>40000</v>
      </c>
      <c r="K23" s="24"/>
      <c r="L23" s="24"/>
    </row>
    <row r="24" spans="1:12" s="18" customFormat="1" ht="63.75">
      <c r="A24" s="112" t="s">
        <v>71</v>
      </c>
      <c r="B24" s="309" t="s">
        <v>73</v>
      </c>
      <c r="C24" s="26">
        <f t="shared" si="1"/>
        <v>7780.4</v>
      </c>
      <c r="D24" s="21"/>
      <c r="E24" s="21"/>
      <c r="F24" s="21">
        <v>7780.4</v>
      </c>
      <c r="G24" s="21"/>
      <c r="H24" s="21"/>
      <c r="I24" s="21"/>
      <c r="J24" s="21">
        <f t="shared" si="2"/>
        <v>7780.4</v>
      </c>
      <c r="K24" s="24"/>
      <c r="L24" s="24"/>
    </row>
    <row r="25" spans="1:12" s="18" customFormat="1" ht="63.75">
      <c r="A25" s="112" t="s">
        <v>357</v>
      </c>
      <c r="B25" s="309" t="s">
        <v>499</v>
      </c>
      <c r="C25" s="26">
        <f t="shared" si="1"/>
        <v>500</v>
      </c>
      <c r="D25" s="21"/>
      <c r="E25" s="21"/>
      <c r="F25" s="21">
        <v>500</v>
      </c>
      <c r="G25" s="21"/>
      <c r="H25" s="21"/>
      <c r="I25" s="21"/>
      <c r="J25" s="21">
        <f t="shared" si="2"/>
        <v>500</v>
      </c>
      <c r="K25" s="24"/>
      <c r="L25" s="24"/>
    </row>
    <row r="26" spans="1:12" s="18" customFormat="1" ht="12.75">
      <c r="A26" s="54" t="s">
        <v>174</v>
      </c>
      <c r="B26" s="57" t="s">
        <v>175</v>
      </c>
      <c r="C26" s="41">
        <f>D26+E26+F26</f>
        <v>235833.729</v>
      </c>
      <c r="D26" s="41">
        <f>D29+D30+D31+D32+D33+D34+D35+D36+D37+D38+D39+D40+D41+D42+D28</f>
        <v>75497.657</v>
      </c>
      <c r="E26" s="41">
        <f>E29+E30+E31+E32+E33+E34+E35+E36+E37+E38+E39+E40+E41+E42+E28</f>
        <v>25156.2</v>
      </c>
      <c r="F26" s="41">
        <f>F29+F30+F31+F32+F33+F34+F35+F36+F37+F38+F39+F40+F41+F42+F28+F27</f>
        <v>135179.87199999997</v>
      </c>
      <c r="G26" s="41">
        <f>G29+G30+G31+G32+G33+G34+G35+G36+G37+G38+G39+G40+G41+G42</f>
        <v>36543.5</v>
      </c>
      <c r="H26" s="41">
        <f>H29+H30+H31+H32+H33+H34+H35+H36+H37+H38+H39+H40+H41+H42</f>
        <v>0</v>
      </c>
      <c r="I26" s="58" t="e">
        <f>I29+#REF!+I30+I31+#REF!+#REF!+#REF!+I33+I34+I35+I36+I37+I38+I40+I39+#REF!+#REF!+#REF!+#REF!+#REF!+#REF!+I32+#REF!+#REF!+#REF!+#REF!</f>
        <v>#REF!</v>
      </c>
      <c r="J26" s="41">
        <f t="shared" si="2"/>
        <v>272377.229</v>
      </c>
      <c r="K26" s="274"/>
      <c r="L26" s="24"/>
    </row>
    <row r="27" spans="1:12" s="18" customFormat="1" ht="38.25">
      <c r="A27" s="55" t="s">
        <v>347</v>
      </c>
      <c r="B27" s="61" t="s">
        <v>372</v>
      </c>
      <c r="C27" s="26">
        <f t="shared" si="1"/>
        <v>8010</v>
      </c>
      <c r="D27" s="41"/>
      <c r="E27" s="41"/>
      <c r="F27" s="26">
        <f>8010-8010+8010</f>
        <v>8010</v>
      </c>
      <c r="G27" s="41"/>
      <c r="H27" s="41"/>
      <c r="I27" s="58"/>
      <c r="J27" s="26">
        <f t="shared" si="2"/>
        <v>8010</v>
      </c>
      <c r="K27" s="274"/>
      <c r="L27" s="24"/>
    </row>
    <row r="28" spans="1:12" s="18" customFormat="1" ht="25.5">
      <c r="A28" s="55" t="s">
        <v>43</v>
      </c>
      <c r="B28" s="138" t="s">
        <v>44</v>
      </c>
      <c r="C28" s="26">
        <f t="shared" si="1"/>
        <v>1344.4</v>
      </c>
      <c r="D28" s="58"/>
      <c r="E28" s="58"/>
      <c r="F28" s="26">
        <v>1344.4</v>
      </c>
      <c r="G28" s="58"/>
      <c r="H28" s="58"/>
      <c r="I28" s="58"/>
      <c r="J28" s="26">
        <f t="shared" si="2"/>
        <v>1344.4</v>
      </c>
      <c r="K28" s="274"/>
      <c r="L28" s="24"/>
    </row>
    <row r="29" spans="1:12" ht="15.75" customHeight="1">
      <c r="A29" s="55" t="s">
        <v>176</v>
      </c>
      <c r="B29" s="17" t="s">
        <v>373</v>
      </c>
      <c r="C29" s="26">
        <f t="shared" si="1"/>
        <v>0.6</v>
      </c>
      <c r="D29" s="26"/>
      <c r="E29" s="26"/>
      <c r="F29" s="26">
        <v>0.6</v>
      </c>
      <c r="G29" s="26"/>
      <c r="H29" s="26"/>
      <c r="I29" s="26"/>
      <c r="J29" s="26">
        <f t="shared" si="2"/>
        <v>0.6</v>
      </c>
      <c r="K29" s="7"/>
      <c r="L29" s="24"/>
    </row>
    <row r="30" spans="1:12" ht="110.25" customHeight="1">
      <c r="A30" s="55" t="s">
        <v>56</v>
      </c>
      <c r="B30" s="20" t="s">
        <v>55</v>
      </c>
      <c r="C30" s="26">
        <f t="shared" si="1"/>
        <v>197449.2</v>
      </c>
      <c r="D30" s="26">
        <f>72400.3+730.5</f>
        <v>73130.8</v>
      </c>
      <c r="E30" s="26">
        <f>27485.7-3000</f>
        <v>24485.7</v>
      </c>
      <c r="F30" s="26">
        <f>36+92581.3+2250+1500+465.4+3000</f>
        <v>99832.7</v>
      </c>
      <c r="G30" s="26">
        <v>36543.5</v>
      </c>
      <c r="H30" s="26"/>
      <c r="I30" s="26"/>
      <c r="J30" s="26">
        <f t="shared" si="2"/>
        <v>233992.7</v>
      </c>
      <c r="K30" s="7"/>
      <c r="L30" s="24"/>
    </row>
    <row r="31" spans="1:12" ht="27" customHeight="1">
      <c r="A31" s="55" t="s">
        <v>179</v>
      </c>
      <c r="B31" s="17" t="s">
        <v>180</v>
      </c>
      <c r="C31" s="26">
        <f t="shared" si="1"/>
        <v>164.4</v>
      </c>
      <c r="D31" s="26"/>
      <c r="E31" s="26"/>
      <c r="F31" s="26">
        <f>179.4-15</f>
        <v>164.4</v>
      </c>
      <c r="G31" s="26"/>
      <c r="H31" s="26"/>
      <c r="I31" s="26"/>
      <c r="J31" s="26">
        <f t="shared" si="2"/>
        <v>164.4</v>
      </c>
      <c r="K31" s="7"/>
      <c r="L31" s="24"/>
    </row>
    <row r="32" spans="1:12" ht="24.75" customHeight="1">
      <c r="A32" s="55" t="s">
        <v>54</v>
      </c>
      <c r="B32" s="17" t="s">
        <v>374</v>
      </c>
      <c r="C32" s="26">
        <f t="shared" si="1"/>
        <v>2302.3</v>
      </c>
      <c r="D32" s="26"/>
      <c r="E32" s="26"/>
      <c r="F32" s="26">
        <f>1273.1+1029.2</f>
        <v>2302.3</v>
      </c>
      <c r="G32" s="26"/>
      <c r="H32" s="26"/>
      <c r="I32" s="26"/>
      <c r="J32" s="26">
        <f t="shared" si="2"/>
        <v>2302.3</v>
      </c>
      <c r="K32" s="7"/>
      <c r="L32" s="24"/>
    </row>
    <row r="33" spans="1:12" ht="25.5" customHeight="1">
      <c r="A33" s="55" t="s">
        <v>16</v>
      </c>
      <c r="B33" s="17" t="s">
        <v>375</v>
      </c>
      <c r="C33" s="26">
        <f aca="true" t="shared" si="3" ref="C33:C45">D33+E33+F33</f>
        <v>1199.2</v>
      </c>
      <c r="D33" s="26">
        <v>705</v>
      </c>
      <c r="E33" s="26">
        <v>47.6</v>
      </c>
      <c r="F33" s="26">
        <v>446.6</v>
      </c>
      <c r="G33" s="26"/>
      <c r="H33" s="26"/>
      <c r="I33" s="26"/>
      <c r="J33" s="26">
        <f t="shared" si="2"/>
        <v>1199.2</v>
      </c>
      <c r="K33" s="7"/>
      <c r="L33" s="24"/>
    </row>
    <row r="34" spans="1:12" ht="25.5">
      <c r="A34" s="55" t="s">
        <v>17</v>
      </c>
      <c r="B34" s="17" t="s">
        <v>376</v>
      </c>
      <c r="C34" s="26">
        <f t="shared" si="3"/>
        <v>203.8</v>
      </c>
      <c r="D34" s="26"/>
      <c r="E34" s="26"/>
      <c r="F34" s="26">
        <v>203.8</v>
      </c>
      <c r="G34" s="26"/>
      <c r="H34" s="26"/>
      <c r="I34" s="26"/>
      <c r="J34" s="26">
        <f t="shared" si="2"/>
        <v>203.8</v>
      </c>
      <c r="K34" s="7"/>
      <c r="L34" s="24"/>
    </row>
    <row r="35" spans="1:12" ht="25.5">
      <c r="A35" s="55" t="s">
        <v>18</v>
      </c>
      <c r="B35" s="17" t="s">
        <v>48</v>
      </c>
      <c r="C35" s="26">
        <f t="shared" si="3"/>
        <v>1222.4</v>
      </c>
      <c r="D35" s="26"/>
      <c r="E35" s="26"/>
      <c r="F35" s="26">
        <v>1222.4</v>
      </c>
      <c r="G35" s="26"/>
      <c r="H35" s="26"/>
      <c r="I35" s="26"/>
      <c r="J35" s="26">
        <f t="shared" si="2"/>
        <v>1222.4</v>
      </c>
      <c r="K35" s="7"/>
      <c r="L35" s="24"/>
    </row>
    <row r="36" spans="1:12" ht="38.25">
      <c r="A36" s="55" t="s">
        <v>19</v>
      </c>
      <c r="B36" s="17" t="s">
        <v>377</v>
      </c>
      <c r="C36" s="26">
        <f t="shared" si="3"/>
        <v>149.3</v>
      </c>
      <c r="D36" s="26"/>
      <c r="E36" s="26"/>
      <c r="F36" s="26">
        <v>149.3</v>
      </c>
      <c r="G36" s="26"/>
      <c r="H36" s="26"/>
      <c r="I36" s="26"/>
      <c r="J36" s="26">
        <f t="shared" si="2"/>
        <v>149.3</v>
      </c>
      <c r="K36" s="7"/>
      <c r="L36" s="24"/>
    </row>
    <row r="37" spans="1:12" ht="12.75">
      <c r="A37" s="55" t="s">
        <v>20</v>
      </c>
      <c r="B37" s="17" t="s">
        <v>21</v>
      </c>
      <c r="C37" s="26">
        <f t="shared" si="3"/>
        <v>1235.6</v>
      </c>
      <c r="D37" s="26">
        <v>458.1</v>
      </c>
      <c r="E37" s="26">
        <v>63</v>
      </c>
      <c r="F37" s="26">
        <v>714.5</v>
      </c>
      <c r="G37" s="26"/>
      <c r="H37" s="26"/>
      <c r="I37" s="26"/>
      <c r="J37" s="26">
        <f t="shared" si="2"/>
        <v>1235.6</v>
      </c>
      <c r="K37" s="7"/>
      <c r="L37" s="24"/>
    </row>
    <row r="38" spans="1:12" ht="12.75">
      <c r="A38" s="55" t="s">
        <v>22</v>
      </c>
      <c r="B38" s="17" t="s">
        <v>23</v>
      </c>
      <c r="C38" s="26">
        <f t="shared" si="3"/>
        <v>3336.629</v>
      </c>
      <c r="D38" s="26">
        <f>1190.1+13.657</f>
        <v>1203.7569999999998</v>
      </c>
      <c r="E38" s="26">
        <v>559.9</v>
      </c>
      <c r="F38" s="26">
        <f>1551.9+21.072</f>
        <v>1572.972</v>
      </c>
      <c r="G38" s="26"/>
      <c r="H38" s="26"/>
      <c r="I38" s="26"/>
      <c r="J38" s="26">
        <f t="shared" si="2"/>
        <v>3336.629</v>
      </c>
      <c r="K38" s="7"/>
      <c r="L38" s="24"/>
    </row>
    <row r="39" spans="1:12" ht="25.5">
      <c r="A39" s="55" t="s">
        <v>24</v>
      </c>
      <c r="B39" s="17" t="s">
        <v>25</v>
      </c>
      <c r="C39" s="26">
        <f t="shared" si="3"/>
        <v>225.4</v>
      </c>
      <c r="D39" s="26"/>
      <c r="E39" s="26"/>
      <c r="F39" s="26">
        <v>225.4</v>
      </c>
      <c r="G39" s="26"/>
      <c r="H39" s="26"/>
      <c r="I39" s="26"/>
      <c r="J39" s="26">
        <f t="shared" si="2"/>
        <v>225.4</v>
      </c>
      <c r="K39" s="7"/>
      <c r="L39" s="24"/>
    </row>
    <row r="40" spans="1:12" ht="63.75" customHeight="1">
      <c r="A40" s="55" t="s">
        <v>42</v>
      </c>
      <c r="B40" s="20" t="s">
        <v>383</v>
      </c>
      <c r="C40" s="26">
        <f t="shared" si="3"/>
        <v>18040</v>
      </c>
      <c r="D40" s="26"/>
      <c r="E40" s="26"/>
      <c r="F40" s="26">
        <f>17530+10+500</f>
        <v>18040</v>
      </c>
      <c r="G40" s="26"/>
      <c r="H40" s="26"/>
      <c r="I40" s="26"/>
      <c r="J40" s="26">
        <f t="shared" si="2"/>
        <v>18040</v>
      </c>
      <c r="K40" s="7"/>
      <c r="L40" s="24"/>
    </row>
    <row r="41" spans="1:12" ht="38.25">
      <c r="A41" s="55" t="s">
        <v>219</v>
      </c>
      <c r="B41" s="20" t="s">
        <v>221</v>
      </c>
      <c r="C41" s="26">
        <f t="shared" si="3"/>
        <v>820.5</v>
      </c>
      <c r="D41" s="26"/>
      <c r="E41" s="26"/>
      <c r="F41" s="26">
        <f>900-79.5</f>
        <v>820.5</v>
      </c>
      <c r="G41" s="26"/>
      <c r="H41" s="26"/>
      <c r="I41" s="26"/>
      <c r="J41" s="26">
        <f t="shared" si="2"/>
        <v>820.5</v>
      </c>
      <c r="K41" s="7"/>
      <c r="L41" s="24"/>
    </row>
    <row r="42" spans="1:12" ht="12.75">
      <c r="A42" s="55" t="s">
        <v>222</v>
      </c>
      <c r="B42" s="20" t="s">
        <v>220</v>
      </c>
      <c r="C42" s="26">
        <f t="shared" si="3"/>
        <v>130</v>
      </c>
      <c r="D42" s="26"/>
      <c r="E42" s="26"/>
      <c r="F42" s="26">
        <f>1064.7-934.7</f>
        <v>130</v>
      </c>
      <c r="G42" s="26"/>
      <c r="H42" s="26"/>
      <c r="I42" s="26"/>
      <c r="J42" s="26">
        <f t="shared" si="2"/>
        <v>130</v>
      </c>
      <c r="K42" s="7"/>
      <c r="L42" s="24"/>
    </row>
    <row r="43" spans="1:15" s="18" customFormat="1" ht="12.75">
      <c r="A43" s="59" t="s">
        <v>417</v>
      </c>
      <c r="B43" s="22" t="s">
        <v>181</v>
      </c>
      <c r="C43" s="41">
        <f>D43+E43+F43</f>
        <v>37336.743</v>
      </c>
      <c r="D43" s="41"/>
      <c r="E43" s="41"/>
      <c r="F43" s="41">
        <f>F46+F44+F45</f>
        <v>37336.743</v>
      </c>
      <c r="G43" s="41">
        <f>G46+G47</f>
        <v>450000</v>
      </c>
      <c r="H43" s="41">
        <f>H46</f>
        <v>0</v>
      </c>
      <c r="I43" s="41"/>
      <c r="J43" s="41">
        <f>C43+G43</f>
        <v>487336.743</v>
      </c>
      <c r="K43" s="19"/>
      <c r="L43" s="24"/>
      <c r="O43" s="157"/>
    </row>
    <row r="44" spans="1:15" s="18" customFormat="1" ht="12.75">
      <c r="A44" s="55" t="s">
        <v>269</v>
      </c>
      <c r="B44" s="17" t="s">
        <v>271</v>
      </c>
      <c r="C44" s="26">
        <f t="shared" si="3"/>
        <v>200</v>
      </c>
      <c r="D44" s="41"/>
      <c r="E44" s="41"/>
      <c r="F44" s="26">
        <v>200</v>
      </c>
      <c r="G44" s="41"/>
      <c r="H44" s="41"/>
      <c r="I44" s="41"/>
      <c r="J44" s="26">
        <f t="shared" si="2"/>
        <v>200</v>
      </c>
      <c r="K44" s="19"/>
      <c r="L44" s="24"/>
      <c r="O44" s="157"/>
    </row>
    <row r="45" spans="1:15" s="18" customFormat="1" ht="12.75">
      <c r="A45" s="55" t="s">
        <v>270</v>
      </c>
      <c r="B45" s="17" t="s">
        <v>272</v>
      </c>
      <c r="C45" s="26">
        <f t="shared" si="3"/>
        <v>10000</v>
      </c>
      <c r="D45" s="41"/>
      <c r="E45" s="41"/>
      <c r="F45" s="26">
        <v>10000</v>
      </c>
      <c r="G45" s="41"/>
      <c r="H45" s="41"/>
      <c r="I45" s="41"/>
      <c r="J45" s="26">
        <f t="shared" si="2"/>
        <v>10000</v>
      </c>
      <c r="K45" s="19"/>
      <c r="L45" s="24"/>
      <c r="O45" s="157"/>
    </row>
    <row r="46" spans="1:12" s="18" customFormat="1" ht="13.5" customHeight="1">
      <c r="A46" s="55" t="s">
        <v>247</v>
      </c>
      <c r="B46" s="17" t="s">
        <v>248</v>
      </c>
      <c r="C46" s="26">
        <f>F46</f>
        <v>27136.743</v>
      </c>
      <c r="D46" s="26"/>
      <c r="E46" s="26"/>
      <c r="F46" s="21">
        <f>5647.8+10000+10000+1488.943</f>
        <v>27136.743</v>
      </c>
      <c r="G46" s="26">
        <f>H46</f>
        <v>0</v>
      </c>
      <c r="H46" s="26"/>
      <c r="I46" s="41"/>
      <c r="J46" s="26">
        <f t="shared" si="2"/>
        <v>27136.743</v>
      </c>
      <c r="K46" s="19"/>
      <c r="L46" s="24"/>
    </row>
    <row r="47" spans="1:12" s="18" customFormat="1" ht="114.75">
      <c r="A47" s="55" t="s">
        <v>213</v>
      </c>
      <c r="B47" s="61" t="s">
        <v>215</v>
      </c>
      <c r="C47" s="26"/>
      <c r="D47" s="26"/>
      <c r="E47" s="26"/>
      <c r="F47" s="21"/>
      <c r="G47" s="26">
        <v>450000</v>
      </c>
      <c r="H47" s="26"/>
      <c r="I47" s="41"/>
      <c r="J47" s="26">
        <f>G47</f>
        <v>450000</v>
      </c>
      <c r="K47" s="19"/>
      <c r="L47" s="24"/>
    </row>
    <row r="48" spans="1:12" s="18" customFormat="1" ht="15" customHeight="1">
      <c r="A48" s="59">
        <v>110000</v>
      </c>
      <c r="B48" s="22" t="s">
        <v>26</v>
      </c>
      <c r="C48" s="41">
        <f>D48+E48+F48</f>
        <v>124932.7</v>
      </c>
      <c r="D48" s="41">
        <f>12387.2+30.1</f>
        <v>12417.300000000001</v>
      </c>
      <c r="E48" s="41">
        <v>2490.7</v>
      </c>
      <c r="F48" s="41">
        <f>107611.6+290+1669.9+200+110+835-83.1-1519.7+347+254+310</f>
        <v>110024.7</v>
      </c>
      <c r="G48" s="41">
        <v>1716</v>
      </c>
      <c r="H48" s="41">
        <f>H49+H50+H52</f>
        <v>0</v>
      </c>
      <c r="I48" s="41"/>
      <c r="J48" s="41">
        <f t="shared" si="2"/>
        <v>126648.7</v>
      </c>
      <c r="K48" s="19"/>
      <c r="L48" s="24"/>
    </row>
    <row r="49" spans="1:12" ht="15" customHeight="1">
      <c r="A49" s="60" t="s">
        <v>27</v>
      </c>
      <c r="B49" s="17" t="s">
        <v>28</v>
      </c>
      <c r="C49" s="26">
        <f>D49+E49+F49</f>
        <v>67597.4</v>
      </c>
      <c r="D49" s="26"/>
      <c r="E49" s="26"/>
      <c r="F49" s="26">
        <f>66280.4+400+100+470+347</f>
        <v>67597.4</v>
      </c>
      <c r="G49" s="26"/>
      <c r="H49" s="26"/>
      <c r="I49" s="26"/>
      <c r="J49" s="26">
        <f t="shared" si="2"/>
        <v>67597.4</v>
      </c>
      <c r="K49" s="7"/>
      <c r="L49" s="24"/>
    </row>
    <row r="50" spans="1:12" ht="25.5">
      <c r="A50" s="60" t="s">
        <v>29</v>
      </c>
      <c r="B50" s="17" t="s">
        <v>490</v>
      </c>
      <c r="C50" s="26">
        <f>D50+E50+F50</f>
        <v>27880.300000000003</v>
      </c>
      <c r="D50" s="26">
        <f>141.4+30.1</f>
        <v>171.5</v>
      </c>
      <c r="E50" s="26">
        <v>12</v>
      </c>
      <c r="F50" s="26">
        <f>28009.7+1200-100-30.1+220-83.1-1519.7</f>
        <v>27696.800000000003</v>
      </c>
      <c r="G50" s="26"/>
      <c r="H50" s="26"/>
      <c r="I50" s="26"/>
      <c r="J50" s="26">
        <f t="shared" si="2"/>
        <v>27880.300000000003</v>
      </c>
      <c r="K50" s="7"/>
      <c r="L50" s="24"/>
    </row>
    <row r="51" spans="1:12" ht="12.75">
      <c r="A51" s="60" t="s">
        <v>223</v>
      </c>
      <c r="B51" s="17" t="s">
        <v>224</v>
      </c>
      <c r="C51" s="26"/>
      <c r="D51" s="26"/>
      <c r="E51" s="26"/>
      <c r="F51" s="26"/>
      <c r="G51" s="26">
        <v>197.8</v>
      </c>
      <c r="H51" s="26"/>
      <c r="I51" s="26"/>
      <c r="J51" s="26">
        <f t="shared" si="2"/>
        <v>197.8</v>
      </c>
      <c r="K51" s="7"/>
      <c r="L51" s="24"/>
    </row>
    <row r="52" spans="1:12" ht="12.75">
      <c r="A52" s="60">
        <v>110300</v>
      </c>
      <c r="B52" s="17" t="s">
        <v>182</v>
      </c>
      <c r="C52" s="26">
        <f aca="true" t="shared" si="4" ref="C52:C69">D52+E52+F52</f>
        <v>1677.4</v>
      </c>
      <c r="D52" s="26"/>
      <c r="E52" s="26"/>
      <c r="F52" s="26">
        <f>1423.4+254</f>
        <v>1677.4</v>
      </c>
      <c r="G52" s="26"/>
      <c r="H52" s="26"/>
      <c r="I52" s="26"/>
      <c r="J52" s="26">
        <f t="shared" si="2"/>
        <v>1677.4</v>
      </c>
      <c r="K52" s="7"/>
      <c r="L52" s="24"/>
    </row>
    <row r="53" spans="1:12" ht="25.5">
      <c r="A53" s="60" t="s">
        <v>49</v>
      </c>
      <c r="B53" s="17" t="s">
        <v>232</v>
      </c>
      <c r="C53" s="26">
        <f t="shared" si="4"/>
        <v>400</v>
      </c>
      <c r="D53" s="26"/>
      <c r="E53" s="26"/>
      <c r="F53" s="26">
        <f>290+110</f>
        <v>400</v>
      </c>
      <c r="G53" s="26"/>
      <c r="H53" s="26"/>
      <c r="I53" s="26"/>
      <c r="J53" s="26">
        <f t="shared" si="2"/>
        <v>400</v>
      </c>
      <c r="K53" s="7"/>
      <c r="L53" s="24"/>
    </row>
    <row r="54" spans="1:12" s="18" customFormat="1" ht="12" customHeight="1">
      <c r="A54" s="59">
        <v>120000</v>
      </c>
      <c r="B54" s="51" t="s">
        <v>183</v>
      </c>
      <c r="C54" s="41">
        <f t="shared" si="4"/>
        <v>7471.4</v>
      </c>
      <c r="D54" s="117">
        <f>D57</f>
        <v>0</v>
      </c>
      <c r="E54" s="117">
        <f>E57</f>
        <v>0</v>
      </c>
      <c r="F54" s="41">
        <f>F57+F55+F56</f>
        <v>7471.4</v>
      </c>
      <c r="G54" s="41"/>
      <c r="H54" s="41"/>
      <c r="I54" s="41"/>
      <c r="J54" s="41">
        <f t="shared" si="2"/>
        <v>7471.4</v>
      </c>
      <c r="K54" s="19"/>
      <c r="L54" s="24"/>
    </row>
    <row r="55" spans="1:12" ht="12.75">
      <c r="A55" s="60" t="s">
        <v>252</v>
      </c>
      <c r="B55" s="17" t="s">
        <v>253</v>
      </c>
      <c r="C55" s="26">
        <f t="shared" si="4"/>
        <v>1047.5</v>
      </c>
      <c r="D55" s="26"/>
      <c r="E55" s="26"/>
      <c r="F55" s="26">
        <v>1047.5</v>
      </c>
      <c r="G55" s="26"/>
      <c r="H55" s="26"/>
      <c r="I55" s="26"/>
      <c r="J55" s="26">
        <f t="shared" si="2"/>
        <v>1047.5</v>
      </c>
      <c r="K55" s="7"/>
      <c r="L55" s="24"/>
    </row>
    <row r="56" spans="1:12" ht="12.75">
      <c r="A56" s="60" t="s">
        <v>273</v>
      </c>
      <c r="B56" s="17" t="s">
        <v>274</v>
      </c>
      <c r="C56" s="26">
        <f t="shared" si="4"/>
        <v>4850.5</v>
      </c>
      <c r="D56" s="26"/>
      <c r="E56" s="26"/>
      <c r="F56" s="26">
        <f>4848-2762.5+2755+50-40</f>
        <v>4850.5</v>
      </c>
      <c r="G56" s="26"/>
      <c r="H56" s="26"/>
      <c r="I56" s="26"/>
      <c r="J56" s="26">
        <f t="shared" si="2"/>
        <v>4850.5</v>
      </c>
      <c r="K56" s="7"/>
      <c r="L56" s="24"/>
    </row>
    <row r="57" spans="1:12" ht="15" customHeight="1">
      <c r="A57" s="60">
        <v>120300</v>
      </c>
      <c r="B57" s="17" t="s">
        <v>184</v>
      </c>
      <c r="C57" s="26">
        <f t="shared" si="4"/>
        <v>1573.4</v>
      </c>
      <c r="D57" s="26"/>
      <c r="E57" s="26"/>
      <c r="F57" s="26">
        <f>1276.9+83.1+213.4</f>
        <v>1573.4</v>
      </c>
      <c r="G57" s="26"/>
      <c r="H57" s="26"/>
      <c r="I57" s="26"/>
      <c r="J57" s="26">
        <f t="shared" si="2"/>
        <v>1573.4</v>
      </c>
      <c r="K57" s="7"/>
      <c r="L57" s="24"/>
    </row>
    <row r="58" spans="1:12" s="18" customFormat="1" ht="15" customHeight="1">
      <c r="A58" s="59">
        <v>130000</v>
      </c>
      <c r="B58" s="22" t="s">
        <v>430</v>
      </c>
      <c r="C58" s="41">
        <f t="shared" si="4"/>
        <v>50535.1</v>
      </c>
      <c r="D58" s="41">
        <v>10551.6</v>
      </c>
      <c r="E58" s="41">
        <v>493.3</v>
      </c>
      <c r="F58" s="41">
        <f>35919.9+F59+F60+250+332.1+1000+1298.1</f>
        <v>39490.2</v>
      </c>
      <c r="G58" s="41">
        <v>29.2</v>
      </c>
      <c r="H58" s="41"/>
      <c r="I58" s="41"/>
      <c r="J58" s="41">
        <f t="shared" si="2"/>
        <v>50564.299999999996</v>
      </c>
      <c r="K58" s="19"/>
      <c r="L58" s="24"/>
    </row>
    <row r="59" spans="1:12" s="18" customFormat="1" ht="51.75" customHeight="1">
      <c r="A59" s="60" t="s">
        <v>345</v>
      </c>
      <c r="B59" s="17" t="s">
        <v>384</v>
      </c>
      <c r="C59" s="26">
        <f t="shared" si="4"/>
        <v>662.5</v>
      </c>
      <c r="D59" s="41"/>
      <c r="E59" s="41"/>
      <c r="F59" s="26">
        <v>662.5</v>
      </c>
      <c r="G59" s="41"/>
      <c r="H59" s="41"/>
      <c r="I59" s="41"/>
      <c r="J59" s="26">
        <f t="shared" si="2"/>
        <v>662.5</v>
      </c>
      <c r="K59" s="19"/>
      <c r="L59" s="24"/>
    </row>
    <row r="60" spans="1:12" s="18" customFormat="1" ht="12.75" customHeight="1">
      <c r="A60" s="60" t="s">
        <v>348</v>
      </c>
      <c r="B60" s="17" t="s">
        <v>206</v>
      </c>
      <c r="C60" s="26">
        <f t="shared" si="4"/>
        <v>27.6</v>
      </c>
      <c r="D60" s="41"/>
      <c r="E60" s="41"/>
      <c r="F60" s="26">
        <v>27.6</v>
      </c>
      <c r="G60" s="41"/>
      <c r="H60" s="41"/>
      <c r="I60" s="41"/>
      <c r="J60" s="26">
        <f t="shared" si="2"/>
        <v>27.6</v>
      </c>
      <c r="K60" s="19"/>
      <c r="L60" s="24"/>
    </row>
    <row r="61" spans="1:15" s="18" customFormat="1" ht="15" customHeight="1">
      <c r="A61" s="59">
        <v>150000</v>
      </c>
      <c r="B61" s="22" t="s">
        <v>185</v>
      </c>
      <c r="C61" s="41">
        <f t="shared" si="4"/>
        <v>2862.1</v>
      </c>
      <c r="D61" s="41"/>
      <c r="E61" s="41"/>
      <c r="F61" s="41">
        <f>F67+F62+F66</f>
        <v>2862.1</v>
      </c>
      <c r="G61" s="41">
        <f>G62+G65+G67+G64</f>
        <v>100867</v>
      </c>
      <c r="H61" s="41">
        <f>H62+H65+H64</f>
        <v>100867</v>
      </c>
      <c r="I61" s="41" t="e">
        <f>#REF!+#REF!+#REF!+#REF!+#REF!+#REF!+#REF!+3800+6400-5400-1954.7</f>
        <v>#REF!</v>
      </c>
      <c r="J61" s="41">
        <f>G61+C61</f>
        <v>103729.1</v>
      </c>
      <c r="K61" s="24"/>
      <c r="L61" s="24"/>
      <c r="O61" s="157"/>
    </row>
    <row r="62" spans="1:12" s="18" customFormat="1" ht="15" customHeight="1">
      <c r="A62" s="402">
        <v>150101</v>
      </c>
      <c r="B62" s="17" t="s">
        <v>186</v>
      </c>
      <c r="C62" s="26"/>
      <c r="D62" s="41"/>
      <c r="E62" s="41"/>
      <c r="F62" s="26"/>
      <c r="G62" s="26">
        <f>H62</f>
        <v>99117</v>
      </c>
      <c r="H62" s="26">
        <f>84454.7+3912.3+10000+6300-1500-10000+1000+1950+3000</f>
        <v>99117</v>
      </c>
      <c r="I62" s="41"/>
      <c r="J62" s="26">
        <f aca="true" t="shared" si="5" ref="J62:J69">C62+G62</f>
        <v>99117</v>
      </c>
      <c r="K62" s="24"/>
      <c r="L62" s="24"/>
    </row>
    <row r="63" spans="1:12" s="18" customFormat="1" ht="51">
      <c r="A63" s="403"/>
      <c r="B63" s="36" t="s">
        <v>395</v>
      </c>
      <c r="C63" s="26"/>
      <c r="D63" s="41"/>
      <c r="E63" s="41"/>
      <c r="F63" s="26"/>
      <c r="G63" s="26">
        <f>H63</f>
        <v>6300</v>
      </c>
      <c r="H63" s="26">
        <v>6300</v>
      </c>
      <c r="I63" s="41"/>
      <c r="J63" s="26">
        <f t="shared" si="5"/>
        <v>6300</v>
      </c>
      <c r="K63" s="24"/>
      <c r="L63" s="24"/>
    </row>
    <row r="64" spans="1:12" s="18" customFormat="1" ht="25.5">
      <c r="A64" s="343" t="s">
        <v>451</v>
      </c>
      <c r="B64" s="36" t="s">
        <v>452</v>
      </c>
      <c r="C64" s="26"/>
      <c r="D64" s="41"/>
      <c r="E64" s="41"/>
      <c r="F64" s="26"/>
      <c r="G64" s="26">
        <f>H64</f>
        <v>200</v>
      </c>
      <c r="H64" s="26">
        <v>200</v>
      </c>
      <c r="I64" s="41"/>
      <c r="J64" s="26">
        <f t="shared" si="5"/>
        <v>200</v>
      </c>
      <c r="K64" s="24"/>
      <c r="L64" s="24"/>
    </row>
    <row r="65" spans="1:12" s="18" customFormat="1" ht="38.25">
      <c r="A65" s="343" t="s">
        <v>418</v>
      </c>
      <c r="B65" s="36" t="s">
        <v>419</v>
      </c>
      <c r="C65" s="26"/>
      <c r="D65" s="41"/>
      <c r="E65" s="41"/>
      <c r="F65" s="26"/>
      <c r="G65" s="26">
        <f>H65</f>
        <v>1550</v>
      </c>
      <c r="H65" s="26">
        <f>1500+2000-1950</f>
        <v>1550</v>
      </c>
      <c r="I65" s="41"/>
      <c r="J65" s="26">
        <f t="shared" si="5"/>
        <v>1550</v>
      </c>
      <c r="K65" s="24"/>
      <c r="L65" s="24"/>
    </row>
    <row r="66" spans="1:12" s="18" customFormat="1" ht="51">
      <c r="A66" s="343" t="s">
        <v>425</v>
      </c>
      <c r="B66" s="36" t="s">
        <v>426</v>
      </c>
      <c r="C66" s="26">
        <f t="shared" si="4"/>
        <v>500</v>
      </c>
      <c r="D66" s="41"/>
      <c r="E66" s="41"/>
      <c r="F66" s="26">
        <v>500</v>
      </c>
      <c r="G66" s="26"/>
      <c r="H66" s="26"/>
      <c r="I66" s="41"/>
      <c r="J66" s="26">
        <f t="shared" si="5"/>
        <v>500</v>
      </c>
      <c r="K66" s="24"/>
      <c r="L66" s="24"/>
    </row>
    <row r="67" spans="1:12" s="18" customFormat="1" ht="27" customHeight="1">
      <c r="A67" s="60" t="s">
        <v>245</v>
      </c>
      <c r="B67" s="61" t="s">
        <v>264</v>
      </c>
      <c r="C67" s="26">
        <f t="shared" si="4"/>
        <v>2362.1</v>
      </c>
      <c r="D67" s="41"/>
      <c r="E67" s="41"/>
      <c r="F67" s="26">
        <f>2000+362.1</f>
        <v>2362.1</v>
      </c>
      <c r="G67" s="26"/>
      <c r="H67" s="26"/>
      <c r="I67" s="41"/>
      <c r="J67" s="26">
        <f t="shared" si="5"/>
        <v>2362.1</v>
      </c>
      <c r="K67" s="24"/>
      <c r="L67" s="24"/>
    </row>
    <row r="68" spans="1:12" s="18" customFormat="1" ht="25.5" customHeight="1">
      <c r="A68" s="59" t="s">
        <v>275</v>
      </c>
      <c r="B68" s="47" t="s">
        <v>276</v>
      </c>
      <c r="C68" s="41">
        <f t="shared" si="4"/>
        <v>775</v>
      </c>
      <c r="D68" s="41"/>
      <c r="E68" s="41"/>
      <c r="F68" s="41">
        <f>F69</f>
        <v>775</v>
      </c>
      <c r="G68" s="26"/>
      <c r="H68" s="26"/>
      <c r="I68" s="41"/>
      <c r="J68" s="41">
        <f t="shared" si="5"/>
        <v>775</v>
      </c>
      <c r="K68" s="24"/>
      <c r="L68" s="24"/>
    </row>
    <row r="69" spans="1:12" s="18" customFormat="1" ht="27" customHeight="1">
      <c r="A69" s="60" t="s">
        <v>277</v>
      </c>
      <c r="B69" s="61" t="s">
        <v>278</v>
      </c>
      <c r="C69" s="26">
        <f t="shared" si="4"/>
        <v>775</v>
      </c>
      <c r="D69" s="41"/>
      <c r="E69" s="41"/>
      <c r="F69" s="26">
        <f>710+65</f>
        <v>775</v>
      </c>
      <c r="G69" s="26"/>
      <c r="H69" s="26"/>
      <c r="I69" s="41"/>
      <c r="J69" s="26">
        <f t="shared" si="5"/>
        <v>775</v>
      </c>
      <c r="K69" s="24"/>
      <c r="L69" s="24"/>
    </row>
    <row r="70" spans="1:12" s="18" customFormat="1" ht="25.5">
      <c r="A70" s="59">
        <v>170000</v>
      </c>
      <c r="B70" s="22" t="s">
        <v>187</v>
      </c>
      <c r="C70" s="41">
        <f>C71</f>
        <v>0</v>
      </c>
      <c r="D70" s="41"/>
      <c r="E70" s="41"/>
      <c r="F70" s="41">
        <f>F71</f>
        <v>0</v>
      </c>
      <c r="G70" s="41">
        <f>G71</f>
        <v>44099</v>
      </c>
      <c r="H70" s="41"/>
      <c r="I70" s="41" t="e">
        <f>I71+#REF!+#REF!</f>
        <v>#REF!</v>
      </c>
      <c r="J70" s="41">
        <f>G70+C70</f>
        <v>44099</v>
      </c>
      <c r="K70" s="19"/>
      <c r="L70" s="24"/>
    </row>
    <row r="71" spans="1:12" ht="38.25">
      <c r="A71" s="60">
        <v>170703</v>
      </c>
      <c r="B71" s="17" t="s">
        <v>30</v>
      </c>
      <c r="C71" s="26">
        <f>D71+E71+F71</f>
        <v>0</v>
      </c>
      <c r="D71" s="124"/>
      <c r="E71" s="124"/>
      <c r="F71" s="26"/>
      <c r="G71" s="26">
        <v>44099</v>
      </c>
      <c r="H71" s="26"/>
      <c r="I71" s="26"/>
      <c r="J71" s="26">
        <f aca="true" t="shared" si="6" ref="J71:J87">C71+G71</f>
        <v>44099</v>
      </c>
      <c r="K71" s="7"/>
      <c r="L71" s="24"/>
    </row>
    <row r="72" spans="1:12" ht="25.5">
      <c r="A72" s="59" t="s">
        <v>250</v>
      </c>
      <c r="B72" s="22" t="s">
        <v>251</v>
      </c>
      <c r="C72" s="41">
        <f>D72+E72+F72</f>
        <v>2536.9</v>
      </c>
      <c r="D72" s="124"/>
      <c r="E72" s="124"/>
      <c r="F72" s="41">
        <f>1643.9+1000+700-1000+193</f>
        <v>2536.9</v>
      </c>
      <c r="G72" s="26"/>
      <c r="H72" s="26"/>
      <c r="I72" s="26"/>
      <c r="J72" s="41">
        <f t="shared" si="6"/>
        <v>2536.9</v>
      </c>
      <c r="K72" s="7"/>
      <c r="L72" s="24"/>
    </row>
    <row r="73" spans="1:12" ht="27.75" customHeight="1">
      <c r="A73" s="59">
        <v>180109</v>
      </c>
      <c r="B73" s="22" t="s">
        <v>189</v>
      </c>
      <c r="C73" s="41">
        <f>D73+E73+F73</f>
        <v>7049.099999999999</v>
      </c>
      <c r="D73" s="26"/>
      <c r="E73" s="26"/>
      <c r="F73" s="41">
        <f>4000+2650+2762.5+2250+5000-1000-27.6-2250+720-4000+1000-124.1-200-213.4+130-1947.8-1573.672-126.828</f>
        <v>7049.099999999999</v>
      </c>
      <c r="G73" s="41"/>
      <c r="H73" s="41"/>
      <c r="I73" s="26"/>
      <c r="J73" s="41">
        <f t="shared" si="6"/>
        <v>7049.099999999999</v>
      </c>
      <c r="K73" s="7"/>
      <c r="L73" s="24"/>
    </row>
    <row r="74" spans="1:12" ht="17.25" customHeight="1">
      <c r="A74" s="59" t="s">
        <v>279</v>
      </c>
      <c r="B74" s="22" t="s">
        <v>280</v>
      </c>
      <c r="C74" s="41">
        <f>D74+E74+F74</f>
        <v>1492.6</v>
      </c>
      <c r="D74" s="26"/>
      <c r="E74" s="26"/>
      <c r="F74" s="41">
        <v>1492.6</v>
      </c>
      <c r="G74" s="41"/>
      <c r="H74" s="41"/>
      <c r="I74" s="26"/>
      <c r="J74" s="41">
        <f t="shared" si="6"/>
        <v>1492.6</v>
      </c>
      <c r="K74" s="7"/>
      <c r="L74" s="24"/>
    </row>
    <row r="75" spans="1:12" ht="38.25" customHeight="1">
      <c r="A75" s="59" t="s">
        <v>334</v>
      </c>
      <c r="B75" s="17" t="s">
        <v>335</v>
      </c>
      <c r="C75" s="41"/>
      <c r="D75" s="26"/>
      <c r="E75" s="26"/>
      <c r="F75" s="41"/>
      <c r="G75" s="41">
        <f>H75</f>
        <v>1759</v>
      </c>
      <c r="H75" s="41">
        <f>1219+540</f>
        <v>1759</v>
      </c>
      <c r="I75" s="26"/>
      <c r="J75" s="41">
        <f t="shared" si="6"/>
        <v>1759</v>
      </c>
      <c r="K75" s="7"/>
      <c r="L75" s="24"/>
    </row>
    <row r="76" spans="1:12" s="18" customFormat="1" ht="27" customHeight="1">
      <c r="A76" s="59">
        <v>210000</v>
      </c>
      <c r="B76" s="50" t="s">
        <v>31</v>
      </c>
      <c r="C76" s="41">
        <f>D76+E76+F76</f>
        <v>3097</v>
      </c>
      <c r="D76" s="41"/>
      <c r="E76" s="41"/>
      <c r="F76" s="41">
        <f>2759.5+1000-662.5</f>
        <v>3097</v>
      </c>
      <c r="G76" s="41"/>
      <c r="H76" s="41"/>
      <c r="I76" s="41"/>
      <c r="J76" s="41">
        <f t="shared" si="6"/>
        <v>3097</v>
      </c>
      <c r="K76" s="24"/>
      <c r="L76" s="24"/>
    </row>
    <row r="77" spans="1:12" s="18" customFormat="1" ht="13.5" customHeight="1">
      <c r="A77" s="54">
        <v>240000</v>
      </c>
      <c r="B77" s="22" t="s">
        <v>190</v>
      </c>
      <c r="C77" s="41">
        <f>C78</f>
        <v>0</v>
      </c>
      <c r="D77" s="117">
        <f>D78</f>
        <v>0</v>
      </c>
      <c r="E77" s="117">
        <f>E78</f>
        <v>0</v>
      </c>
      <c r="F77" s="117">
        <f>F78</f>
        <v>0</v>
      </c>
      <c r="G77" s="41">
        <f>G78+G79</f>
        <v>143885.6</v>
      </c>
      <c r="H77" s="41"/>
      <c r="I77" s="41"/>
      <c r="J77" s="41">
        <f>C77+G77</f>
        <v>143885.6</v>
      </c>
      <c r="K77" s="19"/>
      <c r="L77" s="24"/>
    </row>
    <row r="78" spans="1:12" ht="51">
      <c r="A78" s="55" t="s">
        <v>358</v>
      </c>
      <c r="B78" s="20" t="s">
        <v>191</v>
      </c>
      <c r="C78" s="124">
        <f aca="true" t="shared" si="7" ref="C78:C86">D78+E78+F78</f>
        <v>0</v>
      </c>
      <c r="D78" s="124"/>
      <c r="E78" s="124"/>
      <c r="F78" s="124"/>
      <c r="G78" s="26">
        <f>150319.4-26284.4-16058+6243</f>
        <v>114220</v>
      </c>
      <c r="H78" s="26"/>
      <c r="I78" s="26"/>
      <c r="J78" s="26">
        <f t="shared" si="6"/>
        <v>114220</v>
      </c>
      <c r="K78" s="7"/>
      <c r="L78" s="24"/>
    </row>
    <row r="79" spans="1:12" ht="38.25">
      <c r="A79" s="400" t="s">
        <v>359</v>
      </c>
      <c r="B79" s="20" t="s">
        <v>422</v>
      </c>
      <c r="C79" s="124"/>
      <c r="D79" s="124"/>
      <c r="E79" s="124"/>
      <c r="F79" s="124"/>
      <c r="G79" s="26">
        <f>26284.4+3500-118.8</f>
        <v>29665.600000000002</v>
      </c>
      <c r="H79" s="26"/>
      <c r="I79" s="26"/>
      <c r="J79" s="26">
        <f t="shared" si="6"/>
        <v>29665.600000000002</v>
      </c>
      <c r="K79" s="143">
        <f>J79-J80</f>
        <v>3500</v>
      </c>
      <c r="L79" s="24"/>
    </row>
    <row r="80" spans="1:12" ht="51">
      <c r="A80" s="401"/>
      <c r="B80" s="20" t="s">
        <v>340</v>
      </c>
      <c r="C80" s="124"/>
      <c r="D80" s="124"/>
      <c r="E80" s="124"/>
      <c r="F80" s="124"/>
      <c r="G80" s="26">
        <f>26284.4-118.8</f>
        <v>26165.600000000002</v>
      </c>
      <c r="H80" s="26"/>
      <c r="I80" s="26"/>
      <c r="J80" s="26">
        <f>C80+G80</f>
        <v>26165.600000000002</v>
      </c>
      <c r="K80" s="7"/>
      <c r="L80" s="24"/>
    </row>
    <row r="81" spans="1:12" s="18" customFormat="1" ht="12.75">
      <c r="A81" s="59">
        <v>250000</v>
      </c>
      <c r="B81" s="62" t="s">
        <v>192</v>
      </c>
      <c r="C81" s="41">
        <f t="shared" si="7"/>
        <v>109745.99999999999</v>
      </c>
      <c r="D81" s="58">
        <f>D82+D86+D84</f>
        <v>0</v>
      </c>
      <c r="E81" s="58">
        <f>E82+E86+E84</f>
        <v>0</v>
      </c>
      <c r="F81" s="58">
        <f>F82+F86+F84+F85+F83</f>
        <v>109745.99999999999</v>
      </c>
      <c r="G81" s="58">
        <f>G85+G87</f>
        <v>38435.6</v>
      </c>
      <c r="H81" s="58"/>
      <c r="I81" s="58" t="e">
        <f>I82+#REF!+I86+I84+#REF!</f>
        <v>#REF!</v>
      </c>
      <c r="J81" s="58">
        <f t="shared" si="6"/>
        <v>148181.59999999998</v>
      </c>
      <c r="K81" s="19"/>
      <c r="L81" s="24"/>
    </row>
    <row r="82" spans="1:12" ht="15.75" customHeight="1">
      <c r="A82" s="60">
        <v>250102</v>
      </c>
      <c r="B82" s="17" t="s">
        <v>193</v>
      </c>
      <c r="C82" s="26">
        <f t="shared" si="7"/>
        <v>6504.7</v>
      </c>
      <c r="D82" s="26"/>
      <c r="E82" s="26"/>
      <c r="F82" s="26">
        <f>10000-400-3095.3</f>
        <v>6504.7</v>
      </c>
      <c r="G82" s="26"/>
      <c r="H82" s="26"/>
      <c r="I82" s="26"/>
      <c r="J82" s="26">
        <f t="shared" si="6"/>
        <v>6504.7</v>
      </c>
      <c r="K82" s="7"/>
      <c r="L82" s="24"/>
    </row>
    <row r="83" spans="1:12" ht="25.5">
      <c r="A83" s="60" t="s">
        <v>448</v>
      </c>
      <c r="B83" s="17" t="s">
        <v>449</v>
      </c>
      <c r="C83" s="26">
        <f t="shared" si="7"/>
        <v>4758.2</v>
      </c>
      <c r="D83" s="26"/>
      <c r="E83" s="26"/>
      <c r="F83" s="26">
        <v>4758.2</v>
      </c>
      <c r="G83" s="26"/>
      <c r="H83" s="26"/>
      <c r="I83" s="26"/>
      <c r="J83" s="26">
        <f t="shared" si="6"/>
        <v>4758.2</v>
      </c>
      <c r="K83" s="7"/>
      <c r="L83" s="24"/>
    </row>
    <row r="84" spans="1:12" ht="26.25" customHeight="1">
      <c r="A84" s="60">
        <v>250306</v>
      </c>
      <c r="B84" s="17" t="s">
        <v>198</v>
      </c>
      <c r="C84" s="26">
        <f t="shared" si="7"/>
        <v>77429.3</v>
      </c>
      <c r="D84" s="26"/>
      <c r="E84" s="26"/>
      <c r="F84" s="26">
        <f>75454.7+3912.3-11727.7+10000+6300-3250-10000+2000+540+1200+3000</f>
        <v>77429.3</v>
      </c>
      <c r="G84" s="26"/>
      <c r="H84" s="26"/>
      <c r="I84" s="26"/>
      <c r="J84" s="26">
        <f t="shared" si="6"/>
        <v>77429.3</v>
      </c>
      <c r="K84" s="7"/>
      <c r="L84" s="24"/>
    </row>
    <row r="85" spans="1:12" ht="26.25" customHeight="1">
      <c r="A85" s="60" t="s">
        <v>32</v>
      </c>
      <c r="B85" s="17" t="s">
        <v>336</v>
      </c>
      <c r="C85" s="26">
        <f t="shared" si="7"/>
        <v>20194.6</v>
      </c>
      <c r="D85" s="26"/>
      <c r="E85" s="26"/>
      <c r="F85" s="26">
        <f>299.8+4339.8+90+13951.7+1090.5+413.1+9.6+0.1</f>
        <v>20194.6</v>
      </c>
      <c r="G85" s="26">
        <f>22152.7+16245.5+37.4</f>
        <v>38435.6</v>
      </c>
      <c r="H85" s="26"/>
      <c r="I85" s="26"/>
      <c r="J85" s="26">
        <f t="shared" si="6"/>
        <v>58630.2</v>
      </c>
      <c r="K85" s="7"/>
      <c r="L85" s="24"/>
    </row>
    <row r="86" spans="1:15" ht="12.75">
      <c r="A86" s="60">
        <v>250404</v>
      </c>
      <c r="B86" s="17" t="s">
        <v>194</v>
      </c>
      <c r="C86" s="26">
        <f t="shared" si="7"/>
        <v>859.2</v>
      </c>
      <c r="D86" s="26"/>
      <c r="E86" s="26"/>
      <c r="F86" s="26">
        <f>691.2+250-82</f>
        <v>859.2</v>
      </c>
      <c r="G86" s="26"/>
      <c r="H86" s="26"/>
      <c r="I86" s="26"/>
      <c r="J86" s="26">
        <f t="shared" si="6"/>
        <v>859.2</v>
      </c>
      <c r="K86" s="7"/>
      <c r="L86" s="24"/>
      <c r="O86" s="28"/>
    </row>
    <row r="87" spans="1:15" ht="100.5" customHeight="1" hidden="1">
      <c r="A87" s="60" t="s">
        <v>227</v>
      </c>
      <c r="B87" s="208" t="s">
        <v>388</v>
      </c>
      <c r="C87" s="26"/>
      <c r="D87" s="26"/>
      <c r="E87" s="26"/>
      <c r="F87" s="26"/>
      <c r="G87" s="26"/>
      <c r="H87" s="26"/>
      <c r="I87" s="26"/>
      <c r="J87" s="26">
        <f t="shared" si="6"/>
        <v>0</v>
      </c>
      <c r="K87" s="7"/>
      <c r="L87" s="24"/>
      <c r="O87" s="28"/>
    </row>
    <row r="88" spans="1:14" s="18" customFormat="1" ht="18" customHeight="1">
      <c r="A88" s="59"/>
      <c r="B88" s="22" t="s">
        <v>195</v>
      </c>
      <c r="C88" s="41">
        <f aca="true" t="shared" si="8" ref="C88:J88">C81+C77+C76+C75+C74+C73+C72+C70+C68+C61+C58+C54+C48+C43+C26+C17+C15+C13</f>
        <v>2285031.672</v>
      </c>
      <c r="D88" s="41">
        <f t="shared" si="8"/>
        <v>744131.257</v>
      </c>
      <c r="E88" s="41">
        <f t="shared" si="8"/>
        <v>173868.69999999998</v>
      </c>
      <c r="F88" s="41">
        <f t="shared" si="8"/>
        <v>1367031.715</v>
      </c>
      <c r="G88" s="41">
        <f t="shared" si="8"/>
        <v>898102.9</v>
      </c>
      <c r="H88" s="41">
        <f t="shared" si="8"/>
        <v>102626</v>
      </c>
      <c r="I88" s="41" t="e">
        <f t="shared" si="8"/>
        <v>#REF!</v>
      </c>
      <c r="J88" s="41">
        <f t="shared" si="8"/>
        <v>3183134.5719999997</v>
      </c>
      <c r="K88" s="24"/>
      <c r="L88" s="24"/>
      <c r="M88" s="157">
        <f>J91+J92+J93+J94+J95+J96+J106+J108+J109+J111+J112</f>
        <v>2800433.8280000007</v>
      </c>
      <c r="N88" s="157">
        <f>M88+K88+K89</f>
        <v>2800433.8280000007</v>
      </c>
    </row>
    <row r="89" spans="1:12" s="18" customFormat="1" ht="40.5" customHeight="1">
      <c r="A89" s="60" t="s">
        <v>225</v>
      </c>
      <c r="B89" s="42" t="s">
        <v>385</v>
      </c>
      <c r="C89" s="26">
        <f aca="true" t="shared" si="9" ref="C89:C104">D89+E89+F89</f>
        <v>60401.899999999994</v>
      </c>
      <c r="D89" s="41"/>
      <c r="E89" s="41"/>
      <c r="F89" s="26">
        <f>46445.6-30931.7+1947.8-1298.1+26940.2+4298.1+13000</f>
        <v>60401.899999999994</v>
      </c>
      <c r="G89" s="41"/>
      <c r="H89" s="41"/>
      <c r="I89" s="41"/>
      <c r="J89" s="26">
        <f aca="true" t="shared" si="10" ref="J89:J112">C89+G89</f>
        <v>60401.899999999994</v>
      </c>
      <c r="K89" s="24"/>
      <c r="L89" s="24"/>
    </row>
    <row r="90" spans="1:12" ht="15.75" customHeight="1">
      <c r="A90" s="60" t="s">
        <v>412</v>
      </c>
      <c r="B90" s="17" t="s">
        <v>413</v>
      </c>
      <c r="C90" s="26">
        <f t="shared" si="9"/>
        <v>603.6</v>
      </c>
      <c r="D90" s="26"/>
      <c r="E90" s="26"/>
      <c r="F90" s="26">
        <v>603.6</v>
      </c>
      <c r="G90" s="26"/>
      <c r="H90" s="26"/>
      <c r="I90" s="26"/>
      <c r="J90" s="26">
        <f t="shared" si="10"/>
        <v>603.6</v>
      </c>
      <c r="K90" s="7"/>
      <c r="L90" s="24"/>
    </row>
    <row r="91" spans="1:12" ht="51.75" customHeight="1">
      <c r="A91" s="60" t="s">
        <v>57</v>
      </c>
      <c r="B91" s="64" t="s">
        <v>428</v>
      </c>
      <c r="C91" s="26">
        <f t="shared" si="9"/>
        <v>18557.2</v>
      </c>
      <c r="D91" s="41"/>
      <c r="E91" s="41"/>
      <c r="F91" s="26">
        <v>18557.2</v>
      </c>
      <c r="G91" s="41"/>
      <c r="H91" s="41"/>
      <c r="I91" s="41"/>
      <c r="J91" s="26">
        <f t="shared" si="10"/>
        <v>18557.2</v>
      </c>
      <c r="K91" s="24"/>
      <c r="L91" s="24"/>
    </row>
    <row r="92" spans="1:12" ht="53.25" customHeight="1">
      <c r="A92" s="60" t="s">
        <v>508</v>
      </c>
      <c r="B92" s="64" t="s">
        <v>506</v>
      </c>
      <c r="C92" s="26">
        <f t="shared" si="9"/>
        <v>1827876.8</v>
      </c>
      <c r="D92" s="41"/>
      <c r="E92" s="41"/>
      <c r="F92" s="43">
        <f>2017876.8-150000-14000-26000</f>
        <v>1827876.8</v>
      </c>
      <c r="G92" s="41"/>
      <c r="H92" s="41"/>
      <c r="I92" s="41"/>
      <c r="J92" s="26">
        <f t="shared" si="10"/>
        <v>1827876.8</v>
      </c>
      <c r="K92" s="24"/>
      <c r="L92" s="24"/>
    </row>
    <row r="93" spans="1:12" ht="94.5" customHeight="1">
      <c r="A93" s="60" t="s">
        <v>34</v>
      </c>
      <c r="B93" s="267" t="s">
        <v>367</v>
      </c>
      <c r="C93" s="26">
        <f t="shared" si="9"/>
        <v>190838.2</v>
      </c>
      <c r="D93" s="151"/>
      <c r="E93" s="151"/>
      <c r="F93" s="131">
        <f>282034.7-4947.8-71726.7-14522</f>
        <v>190838.2</v>
      </c>
      <c r="G93" s="43">
        <f>435642.5-30265.7</f>
        <v>405376.8</v>
      </c>
      <c r="H93" s="151"/>
      <c r="I93" s="151"/>
      <c r="J93" s="80">
        <f t="shared" si="10"/>
        <v>596215</v>
      </c>
      <c r="K93" s="24"/>
      <c r="L93" s="24"/>
    </row>
    <row r="94" spans="1:12" ht="141" customHeight="1">
      <c r="A94" s="110" t="s">
        <v>35</v>
      </c>
      <c r="B94" s="267" t="s">
        <v>386</v>
      </c>
      <c r="C94" s="26">
        <f t="shared" si="9"/>
        <v>179074.7</v>
      </c>
      <c r="D94" s="41"/>
      <c r="E94" s="41"/>
      <c r="F94" s="43">
        <v>179074.7</v>
      </c>
      <c r="G94" s="41"/>
      <c r="H94" s="41"/>
      <c r="I94" s="41"/>
      <c r="J94" s="26">
        <f t="shared" si="10"/>
        <v>179074.7</v>
      </c>
      <c r="K94" s="24"/>
      <c r="L94" s="24"/>
    </row>
    <row r="95" spans="1:12" s="18" customFormat="1" ht="51.75" customHeight="1">
      <c r="A95" s="109" t="s">
        <v>36</v>
      </c>
      <c r="B95" s="61" t="s">
        <v>496</v>
      </c>
      <c r="C95" s="26">
        <f t="shared" si="9"/>
        <v>53299.59999999999</v>
      </c>
      <c r="D95" s="108"/>
      <c r="E95" s="108"/>
      <c r="F95" s="131">
        <f>124139.9-69633.3-1207</f>
        <v>53299.59999999999</v>
      </c>
      <c r="G95" s="108"/>
      <c r="H95" s="108"/>
      <c r="I95" s="108"/>
      <c r="J95" s="108">
        <f t="shared" si="10"/>
        <v>53299.59999999999</v>
      </c>
      <c r="K95" s="24"/>
      <c r="L95" s="24"/>
    </row>
    <row r="96" spans="1:12" s="18" customFormat="1" ht="53.25" customHeight="1">
      <c r="A96" s="109" t="s">
        <v>33</v>
      </c>
      <c r="B96" s="61" t="s">
        <v>68</v>
      </c>
      <c r="C96" s="108">
        <f>D96+E96+F96</f>
        <v>8573.3</v>
      </c>
      <c r="D96" s="26"/>
      <c r="E96" s="26"/>
      <c r="F96" s="26">
        <f>SUM(F97:F105)</f>
        <v>8573.3</v>
      </c>
      <c r="G96" s="26">
        <f>SUM(G97:G105)</f>
        <v>10223.4</v>
      </c>
      <c r="H96" s="26"/>
      <c r="I96" s="26"/>
      <c r="J96" s="108">
        <f t="shared" si="10"/>
        <v>18796.699999999997</v>
      </c>
      <c r="K96" s="24"/>
      <c r="L96" s="24"/>
    </row>
    <row r="97" spans="1:12" s="18" customFormat="1" ht="36.75" customHeight="1">
      <c r="A97" s="307"/>
      <c r="B97" s="61" t="s">
        <v>263</v>
      </c>
      <c r="C97" s="108">
        <f t="shared" si="9"/>
        <v>54.5</v>
      </c>
      <c r="D97" s="26"/>
      <c r="E97" s="26"/>
      <c r="F97" s="26">
        <f>54.5</f>
        <v>54.5</v>
      </c>
      <c r="G97" s="26"/>
      <c r="H97" s="26"/>
      <c r="I97" s="26"/>
      <c r="J97" s="108">
        <f t="shared" si="10"/>
        <v>54.5</v>
      </c>
      <c r="K97" s="24"/>
      <c r="L97" s="24"/>
    </row>
    <row r="98" spans="1:12" s="18" customFormat="1" ht="25.5" customHeight="1">
      <c r="A98" s="307"/>
      <c r="B98" s="61" t="s">
        <v>378</v>
      </c>
      <c r="C98" s="108">
        <f t="shared" si="9"/>
        <v>1662.6</v>
      </c>
      <c r="D98" s="26"/>
      <c r="E98" s="26"/>
      <c r="F98" s="26">
        <f>3000-1420+82.6</f>
        <v>1662.6</v>
      </c>
      <c r="G98" s="26"/>
      <c r="H98" s="26"/>
      <c r="I98" s="26"/>
      <c r="J98" s="108">
        <f t="shared" si="10"/>
        <v>1662.6</v>
      </c>
      <c r="K98" s="24"/>
      <c r="L98" s="24"/>
    </row>
    <row r="99" spans="1:12" s="18" customFormat="1" ht="38.25">
      <c r="A99" s="307"/>
      <c r="B99" s="61" t="s">
        <v>456</v>
      </c>
      <c r="C99" s="108">
        <f>D99+E99+F99</f>
        <v>381</v>
      </c>
      <c r="D99" s="26"/>
      <c r="E99" s="26"/>
      <c r="F99" s="26">
        <v>381</v>
      </c>
      <c r="G99" s="26">
        <v>2908.4</v>
      </c>
      <c r="H99" s="26"/>
      <c r="I99" s="26"/>
      <c r="J99" s="108">
        <f>C99+G99</f>
        <v>3289.4</v>
      </c>
      <c r="K99" s="24"/>
      <c r="L99" s="24"/>
    </row>
    <row r="100" spans="1:12" s="18" customFormat="1" ht="38.25">
      <c r="A100" s="343"/>
      <c r="B100" s="61" t="s">
        <v>466</v>
      </c>
      <c r="C100" s="108">
        <f>D100+E100+F100</f>
        <v>1947.8</v>
      </c>
      <c r="D100" s="26"/>
      <c r="E100" s="26"/>
      <c r="F100" s="26">
        <v>1947.8</v>
      </c>
      <c r="G100" s="26"/>
      <c r="H100" s="26"/>
      <c r="I100" s="26"/>
      <c r="J100" s="108">
        <f>C100+G100</f>
        <v>1947.8</v>
      </c>
      <c r="K100" s="24"/>
      <c r="L100" s="24"/>
    </row>
    <row r="101" spans="1:12" s="18" customFormat="1" ht="50.25" customHeight="1">
      <c r="A101" s="307"/>
      <c r="B101" s="61" t="s">
        <v>382</v>
      </c>
      <c r="C101" s="108">
        <f>D101+E101+F101</f>
        <v>299.3</v>
      </c>
      <c r="D101" s="26"/>
      <c r="E101" s="26"/>
      <c r="F101" s="26">
        <v>299.3</v>
      </c>
      <c r="G101" s="26"/>
      <c r="H101" s="26"/>
      <c r="I101" s="26"/>
      <c r="J101" s="108">
        <f>C101+G101</f>
        <v>299.3</v>
      </c>
      <c r="K101" s="24"/>
      <c r="L101" s="24"/>
    </row>
    <row r="102" spans="1:12" s="18" customFormat="1" ht="66" customHeight="1">
      <c r="A102" s="307"/>
      <c r="B102" s="61" t="s">
        <v>380</v>
      </c>
      <c r="C102" s="108">
        <f>D102+E102+F102</f>
        <v>14.1</v>
      </c>
      <c r="D102" s="26"/>
      <c r="E102" s="26"/>
      <c r="F102" s="26">
        <v>14.1</v>
      </c>
      <c r="G102" s="26"/>
      <c r="H102" s="26"/>
      <c r="I102" s="26"/>
      <c r="J102" s="108">
        <f>C102+G102</f>
        <v>14.1</v>
      </c>
      <c r="K102" s="24"/>
      <c r="L102" s="24"/>
    </row>
    <row r="103" spans="1:12" s="18" customFormat="1" ht="38.25">
      <c r="A103" s="307"/>
      <c r="B103" s="61" t="s">
        <v>379</v>
      </c>
      <c r="C103" s="108">
        <f>D103+E103+F103</f>
        <v>50</v>
      </c>
      <c r="D103" s="26"/>
      <c r="E103" s="26"/>
      <c r="F103" s="26">
        <v>50</v>
      </c>
      <c r="G103" s="26"/>
      <c r="H103" s="26"/>
      <c r="I103" s="26"/>
      <c r="J103" s="108">
        <f>C103+G103</f>
        <v>50</v>
      </c>
      <c r="K103" s="24"/>
      <c r="L103" s="24"/>
    </row>
    <row r="104" spans="1:12" s="18" customFormat="1" ht="38.25">
      <c r="A104" s="307"/>
      <c r="B104" s="61" t="s">
        <v>381</v>
      </c>
      <c r="C104" s="108">
        <f t="shared" si="9"/>
        <v>4164</v>
      </c>
      <c r="D104" s="26"/>
      <c r="E104" s="26"/>
      <c r="F104" s="26">
        <f>4000+164</f>
        <v>4164</v>
      </c>
      <c r="G104" s="26"/>
      <c r="H104" s="26"/>
      <c r="I104" s="26"/>
      <c r="J104" s="108">
        <f t="shared" si="10"/>
        <v>4164</v>
      </c>
      <c r="K104" s="24"/>
      <c r="L104" s="24"/>
    </row>
    <row r="105" spans="1:12" s="18" customFormat="1" ht="38.25">
      <c r="A105" s="307"/>
      <c r="B105" s="61" t="s">
        <v>455</v>
      </c>
      <c r="C105" s="108"/>
      <c r="D105" s="26"/>
      <c r="E105" s="26"/>
      <c r="F105" s="26"/>
      <c r="G105" s="26">
        <f>1000+12558-6243</f>
        <v>7315</v>
      </c>
      <c r="H105" s="26"/>
      <c r="I105" s="26"/>
      <c r="J105" s="108">
        <f t="shared" si="10"/>
        <v>7315</v>
      </c>
      <c r="K105" s="24"/>
      <c r="L105" s="24"/>
    </row>
    <row r="106" spans="1:12" s="18" customFormat="1" ht="100.5" customHeight="1">
      <c r="A106" s="60" t="s">
        <v>226</v>
      </c>
      <c r="B106" s="61" t="s">
        <v>498</v>
      </c>
      <c r="C106" s="26">
        <f>D106+E106+F106</f>
        <v>13516.9</v>
      </c>
      <c r="D106" s="26"/>
      <c r="E106" s="26"/>
      <c r="F106" s="43">
        <f>9365.7+1048.9+2500+602.3</f>
        <v>13516.9</v>
      </c>
      <c r="G106" s="26"/>
      <c r="H106" s="26"/>
      <c r="I106" s="26"/>
      <c r="J106" s="26">
        <f t="shared" si="10"/>
        <v>13516.9</v>
      </c>
      <c r="K106" s="24"/>
      <c r="L106" s="24"/>
    </row>
    <row r="107" spans="1:12" s="18" customFormat="1" ht="51.75" customHeight="1">
      <c r="A107" s="60" t="s">
        <v>399</v>
      </c>
      <c r="B107" s="309" t="s">
        <v>400</v>
      </c>
      <c r="C107" s="26"/>
      <c r="D107" s="26"/>
      <c r="E107" s="26"/>
      <c r="F107" s="43"/>
      <c r="G107" s="26">
        <v>2000</v>
      </c>
      <c r="H107" s="26"/>
      <c r="I107" s="26"/>
      <c r="J107" s="26">
        <f t="shared" si="10"/>
        <v>2000</v>
      </c>
      <c r="K107" s="24"/>
      <c r="L107" s="24"/>
    </row>
    <row r="108" spans="1:12" s="18" customFormat="1" ht="12.75">
      <c r="A108" s="60" t="s">
        <v>37</v>
      </c>
      <c r="B108" s="61" t="s">
        <v>14</v>
      </c>
      <c r="C108" s="26">
        <f>D108+E108+F108</f>
        <v>21831.627999999997</v>
      </c>
      <c r="D108" s="26"/>
      <c r="E108" s="26"/>
      <c r="F108" s="43">
        <f>9678.8+1.8+2000+1000+4000+2800+3000+300+200+120-3900-271.272-193+3095.3</f>
        <v>21831.627999999997</v>
      </c>
      <c r="G108" s="26"/>
      <c r="H108" s="26"/>
      <c r="I108" s="26"/>
      <c r="J108" s="26">
        <f t="shared" si="10"/>
        <v>21831.627999999997</v>
      </c>
      <c r="K108" s="24">
        <f>J108-'№5'!C54-'№5'!D54-'№5'!E54-'№5'!F54-'№5'!G54-'№5'!H54-'№8'!B11-'№5'!I54-'№5'!J54-'№5'!K54-'№5'!L54</f>
        <v>0.02500000000759428</v>
      </c>
      <c r="L108" s="24"/>
    </row>
    <row r="109" spans="1:12" s="18" customFormat="1" ht="55.5" customHeight="1">
      <c r="A109" s="60" t="s">
        <v>173</v>
      </c>
      <c r="B109" s="61" t="s">
        <v>369</v>
      </c>
      <c r="C109" s="26">
        <f>D109+E109+F109</f>
        <v>1625</v>
      </c>
      <c r="D109" s="26"/>
      <c r="E109" s="26"/>
      <c r="F109" s="43">
        <f>1625-1452.5+1452.5</f>
        <v>1625</v>
      </c>
      <c r="G109" s="26"/>
      <c r="H109" s="26"/>
      <c r="I109" s="26"/>
      <c r="J109" s="26">
        <f t="shared" si="10"/>
        <v>1625</v>
      </c>
      <c r="K109" s="43">
        <f>9678.8+1.8+2000+1000+4000+2800+3000+300+200+120-3900-271.272-193+3095.3</f>
        <v>21831.627999999997</v>
      </c>
      <c r="L109" s="24"/>
    </row>
    <row r="110" spans="1:12" s="18" customFormat="1" ht="127.5">
      <c r="A110" s="207" t="s">
        <v>464</v>
      </c>
      <c r="B110" s="61" t="s">
        <v>463</v>
      </c>
      <c r="C110" s="108">
        <f>D110+E110+F110</f>
        <v>70</v>
      </c>
      <c r="D110" s="108"/>
      <c r="E110" s="108"/>
      <c r="F110" s="108">
        <v>70</v>
      </c>
      <c r="G110" s="26"/>
      <c r="H110" s="108"/>
      <c r="I110" s="108"/>
      <c r="J110" s="158">
        <f>C110+G110</f>
        <v>70</v>
      </c>
      <c r="K110" s="24"/>
      <c r="L110" s="24"/>
    </row>
    <row r="111" spans="1:12" s="18" customFormat="1" ht="41.25" customHeight="1">
      <c r="A111" s="207" t="s">
        <v>268</v>
      </c>
      <c r="B111" s="61" t="s">
        <v>352</v>
      </c>
      <c r="C111" s="108">
        <f>D111+E111+F111</f>
        <v>60588.2</v>
      </c>
      <c r="D111" s="108"/>
      <c r="E111" s="108"/>
      <c r="F111" s="108">
        <f>530.3+246.4+59811.5</f>
        <v>60588.2</v>
      </c>
      <c r="G111" s="26"/>
      <c r="H111" s="108"/>
      <c r="I111" s="108"/>
      <c r="J111" s="158">
        <f t="shared" si="10"/>
        <v>60588.2</v>
      </c>
      <c r="K111" s="24"/>
      <c r="L111" s="24"/>
    </row>
    <row r="112" spans="1:58" ht="119.25" customHeight="1">
      <c r="A112" s="207" t="s">
        <v>261</v>
      </c>
      <c r="B112" s="208" t="s">
        <v>387</v>
      </c>
      <c r="C112" s="108"/>
      <c r="D112" s="108"/>
      <c r="E112" s="108"/>
      <c r="F112" s="108"/>
      <c r="G112" s="43">
        <f>2628.83+6423.27</f>
        <v>9052.1</v>
      </c>
      <c r="H112" s="108"/>
      <c r="I112" s="108"/>
      <c r="J112" s="158">
        <f t="shared" si="10"/>
        <v>9052.1</v>
      </c>
      <c r="K112" s="24"/>
      <c r="L112" s="24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</row>
    <row r="113" spans="1:12" s="18" customFormat="1" ht="18.75" customHeight="1" thickBot="1">
      <c r="A113" s="421" t="s">
        <v>199</v>
      </c>
      <c r="B113" s="422"/>
      <c r="C113" s="66">
        <f>C88+C89+C90+C91+C92+C93+C94+C95+C96+C106+C107+C108+C109+C111+C112+C110</f>
        <v>4721888.7</v>
      </c>
      <c r="D113" s="66">
        <f>D88+D89+D90+D91+D92+D93+D94+D95+D96+D106+D107+D108+D109+D111+D112</f>
        <v>744131.257</v>
      </c>
      <c r="E113" s="66">
        <f>E88+E89+E90+E91+E92+E93+E94+E95+E96+E106+E107+E108+E109+E111+E112</f>
        <v>173868.69999999998</v>
      </c>
      <c r="F113" s="66">
        <f>F88+F89+F90+F91+F92+F93+F94+F95+F96+F106+F107+F108+F109+F111+F112+F110</f>
        <v>3803888.7430000002</v>
      </c>
      <c r="G113" s="66">
        <f>G88+G89+G90+G91+G92+G93+G94+G95+G96+G106+G107+G108+G109+G111+G112</f>
        <v>1324755.2</v>
      </c>
      <c r="H113" s="66">
        <f>H88+H89+H90+H91+H92+H93+H94+H95+H96+H106+H107+H108+H109+H111+H112</f>
        <v>102626</v>
      </c>
      <c r="I113" s="66" t="e">
        <f>I88+I89+I90+I91+I92+I93+I94+I95+I96+I106+I107+I108+I109+I111+I112</f>
        <v>#REF!</v>
      </c>
      <c r="J113" s="66">
        <f>J88+J89+J90+J91+J92+J93+J94+J95+J96+J106+J107+J108+J109+J111+J112+J110</f>
        <v>6046643.899999999</v>
      </c>
      <c r="K113" s="24"/>
      <c r="L113" s="275"/>
    </row>
    <row r="114" spans="2:12" ht="12.75">
      <c r="B114" s="46" t="s">
        <v>398</v>
      </c>
      <c r="C114" s="158">
        <f>'№1'!$C$65</f>
        <v>4630325.802999999</v>
      </c>
      <c r="D114" s="158"/>
      <c r="E114" s="158"/>
      <c r="F114" s="158"/>
      <c r="G114" s="158">
        <f>'№1'!$D$65</f>
        <v>1286357.047</v>
      </c>
      <c r="H114" s="96">
        <f>'№1'!E65</f>
        <v>102626</v>
      </c>
      <c r="I114" s="158"/>
      <c r="J114" s="158">
        <f>'№1'!F65</f>
        <v>5916682.85</v>
      </c>
      <c r="K114" s="271"/>
      <c r="L114" s="272"/>
    </row>
    <row r="115" spans="2:12" ht="12.75">
      <c r="B115" s="46" t="s">
        <v>45</v>
      </c>
      <c r="C115" s="159">
        <f>C114-C113</f>
        <v>-91562.89700000081</v>
      </c>
      <c r="D115" s="159"/>
      <c r="E115" s="159"/>
      <c r="F115" s="159"/>
      <c r="G115" s="159">
        <f>G114-G113</f>
        <v>-38398.15299999993</v>
      </c>
      <c r="H115" s="159">
        <f>H114-H113</f>
        <v>0</v>
      </c>
      <c r="I115" s="159"/>
      <c r="J115" s="159">
        <f>J114-J113</f>
        <v>-129961.04999999981</v>
      </c>
      <c r="K115" s="21"/>
      <c r="L115" s="65"/>
    </row>
    <row r="116" spans="2:12" ht="12.75">
      <c r="B116" s="46"/>
      <c r="C116" s="21">
        <f>C113-'№1'!C65</f>
        <v>91562.89700000081</v>
      </c>
      <c r="D116" s="21"/>
      <c r="E116" s="21"/>
      <c r="F116" s="21"/>
      <c r="G116" s="21">
        <f>G113-'№1'!D65</f>
        <v>38398.15299999993</v>
      </c>
      <c r="H116" s="21"/>
      <c r="I116" s="21" t="e">
        <f>I113-'№1'!I65</f>
        <v>#REF!</v>
      </c>
      <c r="J116" s="21">
        <f>J113-'№1'!F65</f>
        <v>129961.04999999981</v>
      </c>
      <c r="K116" s="21"/>
      <c r="L116" s="65"/>
    </row>
    <row r="117" spans="2:8" ht="12.75">
      <c r="B117" s="46"/>
      <c r="C117" s="28"/>
      <c r="G117" s="28"/>
      <c r="H117" s="28"/>
    </row>
    <row r="118" spans="2:10" ht="12.75">
      <c r="B118" s="46"/>
      <c r="C118" s="28">
        <f>C113-'[1]№2'!$C$92</f>
        <v>-192914.80000000075</v>
      </c>
      <c r="D118" s="28"/>
      <c r="E118" s="28"/>
      <c r="F118" s="28"/>
      <c r="G118" s="28">
        <f>G113-'[1]№2'!$G$92</f>
        <v>464692.8999999999</v>
      </c>
      <c r="H118" s="28">
        <f>H113-'[1]№2'!$H$92</f>
        <v>3040</v>
      </c>
      <c r="J118" s="28">
        <f>J113-'[1]№2'!$J$92</f>
        <v>271778.0999999996</v>
      </c>
    </row>
    <row r="119" spans="2:10" ht="12.75">
      <c r="B119" s="46"/>
      <c r="C119" s="28"/>
      <c r="D119" s="28"/>
      <c r="E119" s="28"/>
      <c r="F119" s="28"/>
      <c r="J119" s="28"/>
    </row>
    <row r="120" spans="2:11" ht="12.75">
      <c r="B120" s="46"/>
      <c r="C120" s="29">
        <f>C115+'№6'!D16</f>
        <v>0</v>
      </c>
      <c r="G120" s="319">
        <f>G115+'№6'!E16</f>
        <v>0</v>
      </c>
      <c r="K120" s="28"/>
    </row>
    <row r="121" spans="2:10" ht="12.75">
      <c r="B121" s="46"/>
      <c r="C121" s="28"/>
      <c r="J121" s="28"/>
    </row>
    <row r="122" spans="2:10" ht="12.75">
      <c r="B122" s="46"/>
      <c r="C122" s="28"/>
      <c r="J122" s="28"/>
    </row>
    <row r="123" spans="2:7" ht="12.75">
      <c r="B123" s="46"/>
      <c r="G123" s="28"/>
    </row>
    <row r="124" spans="2:7" ht="12.75">
      <c r="B124" s="46"/>
      <c r="G124" s="28"/>
    </row>
    <row r="125" ht="12.75">
      <c r="B125" s="46"/>
    </row>
    <row r="126" spans="2:7" ht="12.75">
      <c r="B126" s="46"/>
      <c r="G126" s="28"/>
    </row>
    <row r="127" spans="2:7" ht="12.75">
      <c r="B127" s="46"/>
      <c r="C127" s="28"/>
      <c r="G127" s="28"/>
    </row>
    <row r="128" ht="12.75">
      <c r="B128" s="46"/>
    </row>
    <row r="129" ht="12.75">
      <c r="B129" s="46"/>
    </row>
    <row r="130" ht="12.75">
      <c r="B130" s="46"/>
    </row>
    <row r="131" ht="12.75">
      <c r="B131" s="46"/>
    </row>
    <row r="132" ht="12.75">
      <c r="B132" s="46"/>
    </row>
    <row r="133" ht="12.75">
      <c r="B133" s="46"/>
    </row>
    <row r="134" ht="12.75">
      <c r="B134" s="46"/>
    </row>
    <row r="135" ht="12.75">
      <c r="B135" s="46"/>
    </row>
    <row r="136" ht="12.75">
      <c r="B136" s="46"/>
    </row>
    <row r="137" ht="12.75">
      <c r="B137" s="46"/>
    </row>
    <row r="138" ht="12.75">
      <c r="B138" s="46"/>
    </row>
    <row r="139" ht="12.75">
      <c r="B139" s="46"/>
    </row>
    <row r="140" ht="12.75">
      <c r="B140" s="46"/>
    </row>
    <row r="141" ht="12.75">
      <c r="B141" s="46"/>
    </row>
    <row r="142" ht="12.75">
      <c r="B142" s="46"/>
    </row>
    <row r="143" ht="12.75">
      <c r="B143" s="46"/>
    </row>
    <row r="144" ht="12.75">
      <c r="B144" s="46"/>
    </row>
    <row r="145" ht="12.75">
      <c r="B145" s="46"/>
    </row>
    <row r="146" ht="12.75">
      <c r="B146" s="46"/>
    </row>
    <row r="147" ht="12.75">
      <c r="B147" s="46"/>
    </row>
    <row r="148" ht="12.75">
      <c r="B148" s="46"/>
    </row>
    <row r="149" ht="12.75">
      <c r="B149" s="46"/>
    </row>
    <row r="150" ht="12.75">
      <c r="B150" s="46"/>
    </row>
    <row r="151" ht="12.75">
      <c r="B151" s="46"/>
    </row>
    <row r="152" ht="12.75">
      <c r="B152" s="46"/>
    </row>
    <row r="153" ht="12.75">
      <c r="B153" s="46"/>
    </row>
    <row r="154" ht="12.75">
      <c r="B154" s="46"/>
    </row>
    <row r="155" ht="12.75">
      <c r="B155" s="46"/>
    </row>
    <row r="156" ht="12.75">
      <c r="B156" s="46"/>
    </row>
    <row r="157" ht="12.75">
      <c r="B157" s="46"/>
    </row>
    <row r="158" ht="12.75">
      <c r="B158" s="46"/>
    </row>
    <row r="159" ht="12.75">
      <c r="B159" s="46"/>
    </row>
    <row r="160" ht="12.75">
      <c r="B160" s="46" t="s">
        <v>68</v>
      </c>
    </row>
    <row r="161" ht="12.75">
      <c r="B161" s="46"/>
    </row>
    <row r="162" ht="12.75">
      <c r="B162" s="46"/>
    </row>
    <row r="163" ht="12.75">
      <c r="B163" s="46"/>
    </row>
    <row r="164" ht="12.75">
      <c r="B164" s="46"/>
    </row>
    <row r="165" ht="12.75">
      <c r="B165" s="46"/>
    </row>
    <row r="166" ht="12.75">
      <c r="B166" s="46"/>
    </row>
    <row r="167" ht="12.75">
      <c r="B167" s="46"/>
    </row>
    <row r="168" ht="12.75">
      <c r="B168" s="46"/>
    </row>
    <row r="169" ht="12.75">
      <c r="B169" s="46"/>
    </row>
    <row r="170" ht="12.75">
      <c r="B170" s="46"/>
    </row>
    <row r="171" ht="12.75">
      <c r="B171" s="46"/>
    </row>
    <row r="172" ht="12.75">
      <c r="B172" s="46"/>
    </row>
    <row r="173" ht="12.75">
      <c r="B173" s="46"/>
    </row>
    <row r="174" ht="12.75">
      <c r="B174" s="46"/>
    </row>
    <row r="175" ht="12.75">
      <c r="B175" s="46"/>
    </row>
    <row r="176" ht="12.75">
      <c r="B176" s="46"/>
    </row>
    <row r="177" ht="12.75">
      <c r="B177" s="46"/>
    </row>
    <row r="178" ht="12.75">
      <c r="B178" s="46"/>
    </row>
    <row r="179" ht="12.75">
      <c r="B179" s="46"/>
    </row>
    <row r="180" ht="12.75">
      <c r="B180" s="46"/>
    </row>
    <row r="181" ht="12.75">
      <c r="B181" s="46"/>
    </row>
    <row r="182" ht="12.75">
      <c r="B182" s="46"/>
    </row>
    <row r="183" ht="12.75">
      <c r="B183" s="46"/>
    </row>
    <row r="184" ht="12.75">
      <c r="B184" s="46"/>
    </row>
    <row r="185" ht="12.75">
      <c r="B185" s="46"/>
    </row>
    <row r="186" ht="12.75">
      <c r="B186" s="46"/>
    </row>
    <row r="187" ht="12.75">
      <c r="B187" s="46"/>
    </row>
    <row r="188" ht="12.75">
      <c r="B188" s="46"/>
    </row>
    <row r="189" ht="12.75">
      <c r="B189" s="46"/>
    </row>
    <row r="190" ht="12.75">
      <c r="B190" s="46"/>
    </row>
    <row r="191" ht="12.75">
      <c r="B191" s="46"/>
    </row>
    <row r="192" ht="12.75">
      <c r="B192" s="46"/>
    </row>
    <row r="193" ht="12.75">
      <c r="B193" s="46"/>
    </row>
    <row r="194" ht="12.75">
      <c r="B194" s="46"/>
    </row>
    <row r="195" ht="12.75">
      <c r="B195" s="46"/>
    </row>
    <row r="196" ht="12.75">
      <c r="B196" s="46"/>
    </row>
    <row r="197" ht="12.75">
      <c r="B197" s="46"/>
    </row>
    <row r="198" ht="12.75">
      <c r="B198" s="46"/>
    </row>
    <row r="199" ht="12.75">
      <c r="B199" s="46"/>
    </row>
    <row r="200" ht="12.75">
      <c r="B200" s="46"/>
    </row>
    <row r="201" ht="12.75">
      <c r="B201" s="46"/>
    </row>
    <row r="202" ht="12.75">
      <c r="B202" s="46"/>
    </row>
    <row r="203" ht="12.75">
      <c r="B203" s="46"/>
    </row>
    <row r="204" ht="12.75">
      <c r="B204" s="46"/>
    </row>
    <row r="205" ht="12.75">
      <c r="B205" s="46"/>
    </row>
    <row r="206" ht="12.75">
      <c r="B206" s="46"/>
    </row>
    <row r="207" ht="12.75">
      <c r="B207" s="46"/>
    </row>
    <row r="208" ht="12.75">
      <c r="B208" s="46"/>
    </row>
    <row r="209" ht="12.75">
      <c r="B209" s="46"/>
    </row>
    <row r="210" ht="12.75">
      <c r="B210" s="46"/>
    </row>
    <row r="211" ht="12.75">
      <c r="B211" s="46"/>
    </row>
    <row r="212" ht="12.75">
      <c r="B212" s="46"/>
    </row>
    <row r="213" ht="12.75">
      <c r="B213" s="46"/>
    </row>
    <row r="214" ht="12.75">
      <c r="B214" s="46"/>
    </row>
    <row r="215" ht="12.75">
      <c r="B215" s="46"/>
    </row>
    <row r="216" ht="12.75">
      <c r="B216" s="46"/>
    </row>
    <row r="217" ht="12.75">
      <c r="B217" s="46"/>
    </row>
    <row r="218" ht="12.75">
      <c r="B218" s="46"/>
    </row>
    <row r="219" ht="12.75">
      <c r="B219" s="46"/>
    </row>
    <row r="220" ht="12.75">
      <c r="B220" s="46"/>
    </row>
    <row r="221" ht="12.75">
      <c r="B221" s="46"/>
    </row>
    <row r="222" ht="12.75">
      <c r="B222" s="46"/>
    </row>
    <row r="223" ht="12.75">
      <c r="B223" s="46"/>
    </row>
    <row r="224" ht="12.75">
      <c r="B224" s="46"/>
    </row>
    <row r="225" ht="12.75">
      <c r="B225" s="46"/>
    </row>
    <row r="226" ht="12.75">
      <c r="B226" s="46"/>
    </row>
    <row r="227" ht="12.75">
      <c r="B227" s="46"/>
    </row>
    <row r="228" ht="12.75">
      <c r="B228" s="46"/>
    </row>
    <row r="229" ht="12.75">
      <c r="B229" s="46"/>
    </row>
    <row r="230" ht="12.75">
      <c r="B230" s="46"/>
    </row>
    <row r="231" ht="12.75">
      <c r="B231" s="46"/>
    </row>
    <row r="232" ht="12.75">
      <c r="B232" s="46"/>
    </row>
    <row r="233" ht="12.75">
      <c r="B233" s="46"/>
    </row>
    <row r="234" ht="12.75">
      <c r="B234" s="46"/>
    </row>
    <row r="235" ht="12.75">
      <c r="B235" s="46"/>
    </row>
    <row r="236" ht="12.75">
      <c r="B236" s="46"/>
    </row>
    <row r="237" ht="12.75">
      <c r="B237" s="46"/>
    </row>
    <row r="238" ht="12.75">
      <c r="B238" s="46"/>
    </row>
    <row r="239" ht="12.75">
      <c r="B239" s="46"/>
    </row>
    <row r="240" ht="12.75">
      <c r="B240" s="46"/>
    </row>
    <row r="241" ht="12.75">
      <c r="B241" s="46"/>
    </row>
    <row r="242" ht="12.75">
      <c r="B242" s="46"/>
    </row>
    <row r="243" ht="12.75">
      <c r="B243" s="46"/>
    </row>
    <row r="244" ht="12.75">
      <c r="B244" s="46"/>
    </row>
    <row r="245" ht="12.75">
      <c r="B245" s="46"/>
    </row>
    <row r="246" ht="12.75">
      <c r="B246" s="46"/>
    </row>
    <row r="247" ht="12.75">
      <c r="B247" s="46"/>
    </row>
    <row r="248" ht="12.75">
      <c r="B248" s="46"/>
    </row>
    <row r="249" ht="12.75">
      <c r="B249" s="46"/>
    </row>
    <row r="250" ht="12.75">
      <c r="B250" s="46"/>
    </row>
    <row r="251" ht="12.75">
      <c r="B251" s="46"/>
    </row>
    <row r="252" ht="12.75">
      <c r="B252" s="46"/>
    </row>
    <row r="253" ht="12.75">
      <c r="B253" s="46"/>
    </row>
    <row r="254" ht="12.75">
      <c r="B254" s="46"/>
    </row>
    <row r="255" ht="12.75">
      <c r="B255" s="46"/>
    </row>
    <row r="256" ht="12.75">
      <c r="B256" s="46"/>
    </row>
    <row r="257" ht="12.75">
      <c r="B257" s="46"/>
    </row>
    <row r="258" ht="12.75">
      <c r="B258" s="46"/>
    </row>
    <row r="259" ht="12.75">
      <c r="B259" s="46"/>
    </row>
    <row r="260" ht="12.75">
      <c r="B260" s="46"/>
    </row>
    <row r="261" ht="12.75">
      <c r="B261" s="46"/>
    </row>
    <row r="262" ht="12.75">
      <c r="B262" s="46"/>
    </row>
    <row r="263" ht="12.75">
      <c r="B263" s="46"/>
    </row>
    <row r="264" ht="12.75">
      <c r="B264" s="46"/>
    </row>
    <row r="265" ht="12.75">
      <c r="B265" s="46"/>
    </row>
    <row r="266" ht="12.75">
      <c r="B266" s="46"/>
    </row>
    <row r="267" ht="12.75">
      <c r="B267" s="46"/>
    </row>
    <row r="268" ht="12.75">
      <c r="B268" s="46"/>
    </row>
    <row r="269" ht="12.75">
      <c r="B269" s="46"/>
    </row>
    <row r="270" ht="12.75">
      <c r="B270" s="46"/>
    </row>
    <row r="271" ht="12.75">
      <c r="B271" s="46"/>
    </row>
    <row r="272" ht="12.75">
      <c r="B272" s="46"/>
    </row>
    <row r="273" ht="12.75">
      <c r="B273" s="46"/>
    </row>
    <row r="274" ht="12.75">
      <c r="B274" s="46"/>
    </row>
    <row r="275" ht="12.75">
      <c r="B275" s="46"/>
    </row>
    <row r="276" ht="12.75">
      <c r="B276" s="46"/>
    </row>
    <row r="277" ht="12.75">
      <c r="B277" s="46"/>
    </row>
    <row r="278" ht="12.75">
      <c r="B278" s="46"/>
    </row>
    <row r="279" ht="12.75">
      <c r="B279" s="46"/>
    </row>
    <row r="280" ht="12.75">
      <c r="B280" s="46"/>
    </row>
    <row r="281" ht="12.75">
      <c r="B281" s="46"/>
    </row>
    <row r="282" ht="12.75">
      <c r="B282" s="46"/>
    </row>
    <row r="283" ht="12.75">
      <c r="B283" s="46"/>
    </row>
    <row r="284" ht="12.75">
      <c r="B284" s="46"/>
    </row>
    <row r="285" ht="12.75">
      <c r="B285" s="46"/>
    </row>
    <row r="286" ht="12.75">
      <c r="B286" s="46"/>
    </row>
    <row r="287" ht="12.75">
      <c r="B287" s="46"/>
    </row>
    <row r="288" ht="12.75">
      <c r="B288" s="46"/>
    </row>
    <row r="289" ht="12.75">
      <c r="B289" s="46"/>
    </row>
    <row r="290" ht="12.75">
      <c r="B290" s="46"/>
    </row>
    <row r="291" ht="12.75">
      <c r="B291" s="46"/>
    </row>
    <row r="292" ht="12.75">
      <c r="B292" s="46"/>
    </row>
    <row r="293" ht="12.75">
      <c r="B293" s="46"/>
    </row>
    <row r="294" ht="12.75">
      <c r="B294" s="46"/>
    </row>
    <row r="295" ht="12.75">
      <c r="B295" s="46"/>
    </row>
    <row r="296" ht="12.75">
      <c r="B296" s="46"/>
    </row>
    <row r="297" ht="12.75">
      <c r="B297" s="46"/>
    </row>
    <row r="298" ht="12.75">
      <c r="B298" s="46"/>
    </row>
    <row r="299" ht="12.75">
      <c r="B299" s="46"/>
    </row>
    <row r="300" ht="12.75">
      <c r="B300" s="46"/>
    </row>
    <row r="301" ht="12.75">
      <c r="B301" s="46"/>
    </row>
    <row r="302" ht="12.75">
      <c r="B302" s="46"/>
    </row>
    <row r="303" ht="12.75">
      <c r="B303" s="46"/>
    </row>
    <row r="304" ht="12.75">
      <c r="B304" s="46"/>
    </row>
    <row r="305" ht="12.75">
      <c r="B305" s="46"/>
    </row>
    <row r="306" ht="12.75">
      <c r="B306" s="46"/>
    </row>
    <row r="307" ht="12.75">
      <c r="B307" s="46"/>
    </row>
    <row r="308" ht="12.75">
      <c r="B308" s="46"/>
    </row>
    <row r="309" ht="12.75">
      <c r="B309" s="46"/>
    </row>
    <row r="310" ht="12.75">
      <c r="B310" s="46"/>
    </row>
    <row r="311" ht="12.75">
      <c r="B311" s="46"/>
    </row>
    <row r="312" ht="12.75">
      <c r="B312" s="46"/>
    </row>
    <row r="313" ht="12.75">
      <c r="B313" s="46"/>
    </row>
    <row r="314" ht="12.75">
      <c r="B314" s="46"/>
    </row>
    <row r="315" ht="12.75">
      <c r="B315" s="46"/>
    </row>
    <row r="316" ht="12.75">
      <c r="B316" s="46"/>
    </row>
    <row r="317" ht="12.75">
      <c r="B317" s="46"/>
    </row>
    <row r="318" ht="12.75">
      <c r="B318" s="46"/>
    </row>
    <row r="319" ht="12.75">
      <c r="B319" s="46"/>
    </row>
    <row r="320" ht="12.75">
      <c r="B320" s="46"/>
    </row>
    <row r="321" ht="12.75">
      <c r="B321" s="46"/>
    </row>
    <row r="322" ht="12.75">
      <c r="B322" s="46"/>
    </row>
    <row r="323" ht="12.75">
      <c r="B323" s="46"/>
    </row>
    <row r="324" ht="12.75">
      <c r="B324" s="46"/>
    </row>
    <row r="325" ht="12.75">
      <c r="B325" s="46"/>
    </row>
    <row r="326" ht="12.75">
      <c r="B326" s="46"/>
    </row>
    <row r="327" ht="12.75">
      <c r="B327" s="46"/>
    </row>
    <row r="328" ht="12.75">
      <c r="B328" s="46"/>
    </row>
    <row r="329" ht="12.75">
      <c r="B329" s="46"/>
    </row>
    <row r="330" ht="12.75">
      <c r="B330" s="46"/>
    </row>
    <row r="331" ht="12.75">
      <c r="B331" s="46"/>
    </row>
    <row r="332" ht="12.75">
      <c r="B332" s="46"/>
    </row>
    <row r="333" ht="12.75">
      <c r="B333" s="46"/>
    </row>
    <row r="334" ht="12.75">
      <c r="B334" s="46"/>
    </row>
    <row r="335" ht="12.75">
      <c r="B335" s="46"/>
    </row>
    <row r="336" ht="12.75">
      <c r="B336" s="46"/>
    </row>
    <row r="337" ht="12.75">
      <c r="B337" s="46"/>
    </row>
    <row r="338" ht="12.75">
      <c r="B338" s="46"/>
    </row>
    <row r="339" ht="12.75">
      <c r="B339" s="46"/>
    </row>
    <row r="340" ht="12.75">
      <c r="B340" s="46"/>
    </row>
    <row r="341" ht="12.75">
      <c r="B341" s="46"/>
    </row>
    <row r="342" ht="12.75">
      <c r="B342" s="46"/>
    </row>
    <row r="343" ht="12.75">
      <c r="B343" s="46"/>
    </row>
    <row r="344" ht="12.75">
      <c r="B344" s="46"/>
    </row>
    <row r="345" ht="12.75">
      <c r="B345" s="46"/>
    </row>
    <row r="346" ht="12.75">
      <c r="B346" s="46"/>
    </row>
    <row r="347" ht="12.75">
      <c r="B347" s="46"/>
    </row>
    <row r="348" ht="12.75">
      <c r="B348" s="46"/>
    </row>
    <row r="349" ht="12.75">
      <c r="B349" s="46"/>
    </row>
    <row r="350" ht="12.75">
      <c r="B350" s="46"/>
    </row>
    <row r="351" ht="12.75">
      <c r="B351" s="46"/>
    </row>
    <row r="352" ht="12.75">
      <c r="B352" s="46"/>
    </row>
    <row r="353" ht="12.75">
      <c r="B353" s="46"/>
    </row>
    <row r="354" ht="12.75">
      <c r="B354" s="46"/>
    </row>
    <row r="355" ht="12.75">
      <c r="B355" s="46"/>
    </row>
    <row r="356" ht="12.75">
      <c r="B356" s="46"/>
    </row>
    <row r="357" ht="12.75">
      <c r="B357" s="46"/>
    </row>
    <row r="358" ht="12.75">
      <c r="B358" s="46"/>
    </row>
    <row r="359" ht="12.75">
      <c r="B359" s="46"/>
    </row>
    <row r="360" ht="12.75">
      <c r="B360" s="46"/>
    </row>
    <row r="361" ht="12.75">
      <c r="B361" s="46"/>
    </row>
    <row r="362" ht="12.75">
      <c r="B362" s="46"/>
    </row>
    <row r="363" ht="12.75">
      <c r="B363" s="46"/>
    </row>
    <row r="364" ht="12.75">
      <c r="B364" s="46"/>
    </row>
    <row r="365" ht="12.75">
      <c r="B365" s="46"/>
    </row>
    <row r="366" ht="12.75">
      <c r="B366" s="46"/>
    </row>
    <row r="367" ht="12.75">
      <c r="B367" s="46"/>
    </row>
    <row r="368" ht="12.75">
      <c r="B368" s="46"/>
    </row>
    <row r="369" ht="12.75">
      <c r="B369" s="46"/>
    </row>
    <row r="370" ht="12.75">
      <c r="B370" s="46"/>
    </row>
    <row r="371" ht="12.75">
      <c r="B371" s="46"/>
    </row>
    <row r="372" ht="12.75">
      <c r="B372" s="46"/>
    </row>
    <row r="373" ht="12.75">
      <c r="B373" s="46"/>
    </row>
    <row r="374" ht="12.75">
      <c r="B374" s="46"/>
    </row>
    <row r="375" ht="12.75">
      <c r="B375" s="46"/>
    </row>
    <row r="376" ht="12.75">
      <c r="B376" s="46"/>
    </row>
    <row r="377" ht="12.75">
      <c r="B377" s="46"/>
    </row>
    <row r="378" ht="12.75">
      <c r="B378" s="46"/>
    </row>
    <row r="379" ht="12.75">
      <c r="B379" s="46"/>
    </row>
    <row r="380" ht="12.75">
      <c r="B380" s="46"/>
    </row>
    <row r="381" ht="12.75">
      <c r="B381" s="46"/>
    </row>
    <row r="382" ht="12.75">
      <c r="B382" s="46"/>
    </row>
    <row r="383" ht="12.75">
      <c r="B383" s="46"/>
    </row>
    <row r="384" ht="12.75">
      <c r="B384" s="46"/>
    </row>
    <row r="385" ht="12.75">
      <c r="B385" s="46"/>
    </row>
    <row r="386" ht="12.75">
      <c r="B386" s="46"/>
    </row>
    <row r="387" ht="12.75">
      <c r="B387" s="46"/>
    </row>
    <row r="388" ht="12.75">
      <c r="B388" s="46"/>
    </row>
    <row r="389" ht="12.75">
      <c r="B389" s="46"/>
    </row>
    <row r="390" ht="12.75">
      <c r="B390" s="46"/>
    </row>
    <row r="391" ht="12.75">
      <c r="B391" s="46"/>
    </row>
    <row r="392" ht="12.75">
      <c r="B392" s="46"/>
    </row>
    <row r="393" ht="12.75">
      <c r="B393" s="46"/>
    </row>
    <row r="394" ht="12.75">
      <c r="B394" s="46"/>
    </row>
    <row r="395" ht="12.75">
      <c r="B395" s="46"/>
    </row>
    <row r="396" ht="12.75">
      <c r="B396" s="46"/>
    </row>
    <row r="397" ht="12.75">
      <c r="B397" s="46"/>
    </row>
    <row r="398" ht="12.75">
      <c r="B398" s="46"/>
    </row>
    <row r="399" ht="12.75">
      <c r="B399" s="46"/>
    </row>
    <row r="400" ht="12.75">
      <c r="B400" s="46"/>
    </row>
    <row r="401" ht="12.75">
      <c r="B401" s="46"/>
    </row>
    <row r="402" ht="12.75">
      <c r="B402" s="46"/>
    </row>
    <row r="403" ht="12.75">
      <c r="B403" s="46"/>
    </row>
    <row r="404" ht="12.75">
      <c r="B404" s="46"/>
    </row>
    <row r="405" ht="12.75">
      <c r="B405" s="46"/>
    </row>
    <row r="406" ht="12.75">
      <c r="B406" s="46"/>
    </row>
    <row r="407" ht="12.75">
      <c r="B407" s="46"/>
    </row>
    <row r="408" ht="12.75">
      <c r="B408" s="46"/>
    </row>
    <row r="409" ht="12.75">
      <c r="B409" s="46"/>
    </row>
    <row r="410" ht="12.75">
      <c r="B410" s="46"/>
    </row>
    <row r="411" ht="12.75">
      <c r="B411" s="46"/>
    </row>
    <row r="412" ht="12.75">
      <c r="B412" s="46"/>
    </row>
    <row r="413" ht="12.75">
      <c r="B413" s="46"/>
    </row>
    <row r="414" ht="12.75">
      <c r="B414" s="46"/>
    </row>
    <row r="415" ht="12.75">
      <c r="B415" s="46"/>
    </row>
    <row r="416" ht="12.75">
      <c r="B416" s="46"/>
    </row>
    <row r="417" ht="12.75">
      <c r="B417" s="46"/>
    </row>
    <row r="418" ht="12.75">
      <c r="B418" s="46"/>
    </row>
    <row r="419" ht="12.75">
      <c r="B419" s="46"/>
    </row>
    <row r="420" ht="12.75">
      <c r="B420" s="46"/>
    </row>
    <row r="421" ht="12.75">
      <c r="B421" s="46"/>
    </row>
    <row r="422" ht="12.75">
      <c r="B422" s="46"/>
    </row>
    <row r="423" ht="12.75">
      <c r="B423" s="46"/>
    </row>
    <row r="424" ht="12.75">
      <c r="B424" s="46"/>
    </row>
    <row r="425" ht="12.75">
      <c r="B425" s="46"/>
    </row>
    <row r="426" ht="12.75">
      <c r="B426" s="46"/>
    </row>
    <row r="427" ht="12.75">
      <c r="B427" s="46"/>
    </row>
    <row r="428" ht="12.75">
      <c r="B428" s="46"/>
    </row>
    <row r="429" ht="12.75">
      <c r="B429" s="46"/>
    </row>
    <row r="430" ht="12.75">
      <c r="B430" s="46"/>
    </row>
    <row r="431" ht="12.75">
      <c r="B431" s="46"/>
    </row>
    <row r="432" ht="12.75">
      <c r="B432" s="46"/>
    </row>
    <row r="433" ht="12.75">
      <c r="B433" s="46"/>
    </row>
    <row r="434" ht="12.75">
      <c r="B434" s="46"/>
    </row>
    <row r="435" ht="12.75">
      <c r="B435" s="46"/>
    </row>
    <row r="436" ht="12.75">
      <c r="B436" s="46"/>
    </row>
    <row r="437" ht="12.75">
      <c r="B437" s="46"/>
    </row>
    <row r="438" ht="12.75">
      <c r="B438" s="46"/>
    </row>
    <row r="439" ht="12.75">
      <c r="B439" s="46"/>
    </row>
    <row r="440" ht="12.75">
      <c r="B440" s="46"/>
    </row>
    <row r="441" ht="12.75">
      <c r="B441" s="46"/>
    </row>
    <row r="442" ht="12.75">
      <c r="B442" s="46"/>
    </row>
    <row r="443" ht="12.75">
      <c r="B443" s="46"/>
    </row>
    <row r="444" ht="12.75">
      <c r="B444" s="46"/>
    </row>
    <row r="445" ht="12.75">
      <c r="B445" s="46"/>
    </row>
    <row r="446" ht="12.75">
      <c r="B446" s="46"/>
    </row>
    <row r="447" ht="12.75">
      <c r="B447" s="46"/>
    </row>
    <row r="448" ht="12.75">
      <c r="B448" s="46"/>
    </row>
    <row r="449" ht="12.75">
      <c r="B449" s="46"/>
    </row>
    <row r="450" ht="12.75">
      <c r="B450" s="46"/>
    </row>
    <row r="451" ht="12.75">
      <c r="B451" s="46"/>
    </row>
    <row r="452" ht="12.75">
      <c r="B452" s="46"/>
    </row>
    <row r="453" ht="12.75">
      <c r="B453" s="46"/>
    </row>
    <row r="454" ht="12.75">
      <c r="B454" s="46"/>
    </row>
    <row r="455" ht="12.75">
      <c r="B455" s="46"/>
    </row>
    <row r="456" ht="12.75">
      <c r="B456" s="46"/>
    </row>
    <row r="457" ht="12.75">
      <c r="B457" s="46"/>
    </row>
    <row r="458" ht="12.75">
      <c r="B458" s="46"/>
    </row>
    <row r="459" ht="12.75">
      <c r="B459" s="46"/>
    </row>
    <row r="460" ht="12.75">
      <c r="B460" s="46"/>
    </row>
    <row r="461" ht="12.75">
      <c r="B461" s="46"/>
    </row>
    <row r="462" ht="12.75">
      <c r="B462" s="46"/>
    </row>
    <row r="463" ht="12.75">
      <c r="B463" s="46"/>
    </row>
    <row r="464" ht="12.75">
      <c r="B464" s="46"/>
    </row>
    <row r="465" ht="12.75">
      <c r="B465" s="46"/>
    </row>
    <row r="466" ht="12.75">
      <c r="B466" s="46"/>
    </row>
    <row r="467" ht="12.75">
      <c r="B467" s="46"/>
    </row>
    <row r="468" ht="12.75">
      <c r="B468" s="46"/>
    </row>
    <row r="469" ht="12.75">
      <c r="B469" s="46"/>
    </row>
    <row r="470" ht="12.75">
      <c r="B470" s="46"/>
    </row>
    <row r="471" ht="12.75">
      <c r="B471" s="46"/>
    </row>
    <row r="472" ht="12.75">
      <c r="B472" s="46"/>
    </row>
    <row r="473" ht="12.75">
      <c r="B473" s="46"/>
    </row>
    <row r="474" ht="12.75">
      <c r="B474" s="46"/>
    </row>
    <row r="475" ht="12.75">
      <c r="B475" s="46"/>
    </row>
    <row r="476" ht="12.75">
      <c r="B476" s="46"/>
    </row>
    <row r="477" ht="12.75">
      <c r="B477" s="46"/>
    </row>
    <row r="478" ht="12.75">
      <c r="B478" s="46"/>
    </row>
    <row r="479" ht="12.75">
      <c r="B479" s="46"/>
    </row>
    <row r="480" ht="12.75">
      <c r="B480" s="46"/>
    </row>
    <row r="481" ht="12.75">
      <c r="B481" s="46"/>
    </row>
    <row r="482" ht="12.75">
      <c r="B482" s="46"/>
    </row>
    <row r="483" ht="12.75">
      <c r="B483" s="46"/>
    </row>
    <row r="484" ht="12.75">
      <c r="B484" s="46"/>
    </row>
    <row r="485" ht="12.75">
      <c r="B485" s="46"/>
    </row>
    <row r="486" ht="12.75">
      <c r="B486" s="46"/>
    </row>
    <row r="487" ht="12.75">
      <c r="B487" s="46"/>
    </row>
    <row r="488" ht="12.75">
      <c r="B488" s="46"/>
    </row>
    <row r="489" ht="12.75">
      <c r="B489" s="46"/>
    </row>
    <row r="490" ht="12.75">
      <c r="B490" s="46"/>
    </row>
    <row r="491" ht="12.75">
      <c r="B491" s="46"/>
    </row>
    <row r="492" ht="12.75">
      <c r="B492" s="46"/>
    </row>
    <row r="493" ht="12.75">
      <c r="B493" s="46"/>
    </row>
    <row r="494" ht="12.75">
      <c r="B494" s="46"/>
    </row>
    <row r="495" ht="12.75">
      <c r="B495" s="46"/>
    </row>
    <row r="496" ht="12.75">
      <c r="B496" s="46"/>
    </row>
    <row r="497" ht="12.75">
      <c r="B497" s="46"/>
    </row>
    <row r="498" ht="12.75">
      <c r="B498" s="46"/>
    </row>
    <row r="499" ht="12.75">
      <c r="B499" s="46"/>
    </row>
    <row r="500" ht="12.75">
      <c r="B500" s="46"/>
    </row>
    <row r="501" ht="12.75">
      <c r="B501" s="46"/>
    </row>
  </sheetData>
  <mergeCells count="18">
    <mergeCell ref="A22:A23"/>
    <mergeCell ref="A62:A63"/>
    <mergeCell ref="A79:A80"/>
    <mergeCell ref="I10:I11"/>
    <mergeCell ref="A6:J6"/>
    <mergeCell ref="F1:H1"/>
    <mergeCell ref="F2:H2"/>
    <mergeCell ref="F3:H3"/>
    <mergeCell ref="A113:B113"/>
    <mergeCell ref="A7:J7"/>
    <mergeCell ref="A9:A11"/>
    <mergeCell ref="B9:B11"/>
    <mergeCell ref="C9:F9"/>
    <mergeCell ref="G9:I9"/>
    <mergeCell ref="J9:J11"/>
    <mergeCell ref="C10:C11"/>
    <mergeCell ref="D10:F10"/>
    <mergeCell ref="G10:G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6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80"/>
  <sheetViews>
    <sheetView view="pageBreakPreview" zoomScale="90" zoomScaleNormal="90" zoomScaleSheetLayoutView="90" workbookViewId="0" topLeftCell="A4">
      <selection activeCell="F6" sqref="F6"/>
    </sheetView>
  </sheetViews>
  <sheetFormatPr defaultColWidth="9.00390625" defaultRowHeight="12.75"/>
  <cols>
    <col min="1" max="1" width="8.25390625" style="52" customWidth="1"/>
    <col min="2" max="2" width="54.875" style="30" customWidth="1"/>
    <col min="3" max="3" width="14.25390625" style="3" customWidth="1"/>
    <col min="4" max="4" width="11.625" style="3" customWidth="1"/>
    <col min="5" max="5" width="10.125" style="3" customWidth="1"/>
    <col min="6" max="6" width="11.875" style="3" customWidth="1"/>
    <col min="7" max="7" width="10.00390625" style="3" customWidth="1"/>
    <col min="8" max="8" width="10.375" style="3" customWidth="1"/>
    <col min="9" max="9" width="7.00390625" style="3" hidden="1" customWidth="1"/>
    <col min="10" max="10" width="12.375" style="3" customWidth="1"/>
    <col min="11" max="11" width="13.125" style="31" customWidth="1"/>
    <col min="12" max="12" width="14.625" style="31" customWidth="1"/>
    <col min="13" max="13" width="10.375" style="31" bestFit="1" customWidth="1"/>
    <col min="14" max="58" width="8.875" style="31" customWidth="1"/>
    <col min="59" max="16384" width="8.875" style="3" customWidth="1"/>
  </cols>
  <sheetData>
    <row r="1" spans="6:10" ht="13.5" customHeight="1" hidden="1">
      <c r="F1" s="394"/>
      <c r="G1" s="394"/>
      <c r="H1" s="394"/>
      <c r="I1" s="394"/>
      <c r="J1" s="394"/>
    </row>
    <row r="2" spans="6:10" ht="13.5" customHeight="1" hidden="1">
      <c r="F2" s="5"/>
      <c r="G2" s="5"/>
      <c r="H2" s="5"/>
      <c r="I2" s="5"/>
      <c r="J2" s="5"/>
    </row>
    <row r="3" spans="6:10" ht="13.5" customHeight="1" hidden="1">
      <c r="F3" s="4" t="s">
        <v>200</v>
      </c>
      <c r="G3" s="4"/>
      <c r="H3" s="4"/>
      <c r="I3" s="4"/>
      <c r="J3" s="4"/>
    </row>
    <row r="4" spans="5:9" ht="15.75">
      <c r="E4" s="32" t="s">
        <v>201</v>
      </c>
      <c r="F4" s="215" t="s">
        <v>202</v>
      </c>
      <c r="G4" s="9"/>
      <c r="H4" s="9"/>
      <c r="I4" s="9"/>
    </row>
    <row r="5" spans="6:9" ht="15.75">
      <c r="F5" s="216" t="s">
        <v>147</v>
      </c>
      <c r="G5" s="5"/>
      <c r="H5" s="5"/>
      <c r="I5" s="5"/>
    </row>
    <row r="6" spans="6:9" ht="12.75">
      <c r="F6" s="522" t="s">
        <v>61</v>
      </c>
      <c r="G6" s="522"/>
      <c r="H6" s="164"/>
      <c r="I6" s="164"/>
    </row>
    <row r="7" ht="13.5" customHeight="1"/>
    <row r="8" spans="1:10" ht="15.75">
      <c r="A8" s="423" t="s">
        <v>256</v>
      </c>
      <c r="B8" s="423"/>
      <c r="C8" s="423"/>
      <c r="D8" s="423"/>
      <c r="E8" s="423"/>
      <c r="F8" s="423"/>
      <c r="G8" s="423"/>
      <c r="H8" s="423"/>
      <c r="I8" s="423"/>
      <c r="J8" s="423"/>
    </row>
    <row r="9" spans="1:10" ht="15" customHeight="1">
      <c r="A9" s="423" t="s">
        <v>228</v>
      </c>
      <c r="B9" s="423"/>
      <c r="C9" s="423"/>
      <c r="D9" s="423"/>
      <c r="E9" s="423"/>
      <c r="F9" s="423"/>
      <c r="G9" s="423"/>
      <c r="H9" s="423"/>
      <c r="I9" s="423"/>
      <c r="J9" s="423"/>
    </row>
    <row r="10" spans="7:10" ht="13.5" thickBot="1">
      <c r="G10" s="395" t="s">
        <v>15</v>
      </c>
      <c r="H10" s="395"/>
      <c r="I10" s="395"/>
      <c r="J10" s="395"/>
    </row>
    <row r="11" spans="1:17" ht="24.75" customHeight="1" thickBot="1">
      <c r="A11" s="424" t="s">
        <v>149</v>
      </c>
      <c r="B11" s="385" t="s">
        <v>350</v>
      </c>
      <c r="C11" s="383" t="s">
        <v>151</v>
      </c>
      <c r="D11" s="430"/>
      <c r="E11" s="384"/>
      <c r="F11" s="384"/>
      <c r="G11" s="431" t="s">
        <v>152</v>
      </c>
      <c r="H11" s="432"/>
      <c r="I11" s="433"/>
      <c r="J11" s="404" t="s">
        <v>153</v>
      </c>
      <c r="Q11" s="3"/>
    </row>
    <row r="12" spans="1:10" ht="40.5" customHeight="1" thickBot="1">
      <c r="A12" s="425"/>
      <c r="B12" s="386"/>
      <c r="C12" s="388" t="s">
        <v>154</v>
      </c>
      <c r="D12" s="383" t="s">
        <v>155</v>
      </c>
      <c r="E12" s="384"/>
      <c r="F12" s="384"/>
      <c r="G12" s="388" t="s">
        <v>154</v>
      </c>
      <c r="H12" s="13" t="s">
        <v>156</v>
      </c>
      <c r="I12" s="404" t="s">
        <v>157</v>
      </c>
      <c r="J12" s="396"/>
    </row>
    <row r="13" spans="1:10" ht="96" customHeight="1" thickBot="1">
      <c r="A13" s="426"/>
      <c r="B13" s="387"/>
      <c r="C13" s="389"/>
      <c r="D13" s="13" t="s">
        <v>158</v>
      </c>
      <c r="E13" s="13" t="s">
        <v>159</v>
      </c>
      <c r="F13" s="13" t="s">
        <v>160</v>
      </c>
      <c r="G13" s="389"/>
      <c r="H13" s="13" t="s">
        <v>161</v>
      </c>
      <c r="I13" s="391"/>
      <c r="J13" s="391"/>
    </row>
    <row r="14" spans="1:10" ht="13.5" thickBot="1">
      <c r="A14" s="67">
        <v>1</v>
      </c>
      <c r="B14" s="68">
        <v>2</v>
      </c>
      <c r="C14" s="69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10</v>
      </c>
      <c r="J14" s="69">
        <v>9</v>
      </c>
    </row>
    <row r="15" spans="1:58" s="34" customFormat="1" ht="12.75">
      <c r="A15" s="70"/>
      <c r="B15" s="71" t="s">
        <v>204</v>
      </c>
      <c r="C15" s="72">
        <f>D15+E15+F15</f>
        <v>36274.200000000004</v>
      </c>
      <c r="D15" s="72">
        <f>D16+D17+D18+D25</f>
        <v>5148</v>
      </c>
      <c r="E15" s="72">
        <f>E16+E17+E18+E25</f>
        <v>3655.3999999999996</v>
      </c>
      <c r="F15" s="72">
        <f>F16+F17+F18+F25+F22+F21+F26+F27+F20+F19+F24</f>
        <v>27470.800000000003</v>
      </c>
      <c r="G15" s="72">
        <f>G16+G17+G18+G25+G22+G21+G26+G27+G23</f>
        <v>5821.3</v>
      </c>
      <c r="H15" s="72">
        <f>H16+H17+H18+H25+H22+H21+H26+H27+H23</f>
        <v>5671.3</v>
      </c>
      <c r="I15" s="72" t="e">
        <f>I16+I17+I18+#REF!+#REF!+#REF!+#REF!+#REF!+#REF!+I25+#REF!</f>
        <v>#REF!</v>
      </c>
      <c r="J15" s="76">
        <f aca="true" t="shared" si="0" ref="J15:J34">C15+G15</f>
        <v>42095.50000000001</v>
      </c>
      <c r="K15" s="160"/>
      <c r="L15" s="160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ht="12.75">
      <c r="A16" s="55" t="s">
        <v>164</v>
      </c>
      <c r="B16" s="36" t="s">
        <v>165</v>
      </c>
      <c r="C16" s="26">
        <f>D16+E16+F16</f>
        <v>18045</v>
      </c>
      <c r="D16" s="21">
        <f>5148</f>
        <v>5148</v>
      </c>
      <c r="E16" s="108">
        <f>4732.9-681.5-396</f>
        <v>3655.3999999999996</v>
      </c>
      <c r="F16" s="108">
        <f>11164.1-2318.5+720-720+396</f>
        <v>9241.6</v>
      </c>
      <c r="G16" s="26">
        <v>150</v>
      </c>
      <c r="H16" s="21"/>
      <c r="I16" s="21"/>
      <c r="J16" s="63">
        <f t="shared" si="0"/>
        <v>18195</v>
      </c>
      <c r="K16" s="78"/>
      <c r="L16" s="27"/>
      <c r="M16" s="7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ht="21" customHeight="1">
      <c r="A17" s="55" t="s">
        <v>205</v>
      </c>
      <c r="B17" s="36" t="s">
        <v>41</v>
      </c>
      <c r="C17" s="26">
        <f aca="true" t="shared" si="1" ref="C17:C31">D17+E17+F17</f>
        <v>99</v>
      </c>
      <c r="D17" s="21"/>
      <c r="E17" s="21"/>
      <c r="F17" s="21">
        <f>103.5-4.5</f>
        <v>99</v>
      </c>
      <c r="G17" s="26">
        <f>H17</f>
        <v>0</v>
      </c>
      <c r="H17" s="21"/>
      <c r="I17" s="21"/>
      <c r="J17" s="63">
        <f t="shared" si="0"/>
        <v>99</v>
      </c>
      <c r="K17" s="119"/>
      <c r="L17" s="121"/>
      <c r="M17" s="119"/>
      <c r="N17" s="73"/>
      <c r="O17" s="73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ht="18" customHeight="1">
      <c r="A18" s="55" t="s">
        <v>177</v>
      </c>
      <c r="B18" s="20" t="s">
        <v>178</v>
      </c>
      <c r="C18" s="26">
        <f t="shared" si="1"/>
        <v>2286</v>
      </c>
      <c r="D18" s="21"/>
      <c r="E18" s="21"/>
      <c r="F18" s="21">
        <f>36+2250</f>
        <v>2286</v>
      </c>
      <c r="G18" s="26">
        <f>H18</f>
        <v>0</v>
      </c>
      <c r="H18" s="21"/>
      <c r="I18" s="21"/>
      <c r="J18" s="63">
        <f t="shared" si="0"/>
        <v>2286</v>
      </c>
      <c r="K18" s="119"/>
      <c r="L18" s="74"/>
      <c r="M18" s="74"/>
      <c r="N18" s="74"/>
      <c r="O18" s="75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ht="18" customHeight="1">
      <c r="A19" s="55" t="s">
        <v>424</v>
      </c>
      <c r="B19" s="20" t="s">
        <v>427</v>
      </c>
      <c r="C19" s="26">
        <f t="shared" si="1"/>
        <v>1179.2</v>
      </c>
      <c r="D19" s="21"/>
      <c r="E19" s="21"/>
      <c r="F19" s="21">
        <v>1179.2</v>
      </c>
      <c r="G19" s="26"/>
      <c r="H19" s="21"/>
      <c r="I19" s="21"/>
      <c r="J19" s="63">
        <f t="shared" si="0"/>
        <v>1179.2</v>
      </c>
      <c r="K19" s="119"/>
      <c r="L19" s="74"/>
      <c r="M19" s="74"/>
      <c r="N19" s="74"/>
      <c r="O19" s="75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ht="12.75" customHeight="1">
      <c r="A20" s="60" t="s">
        <v>348</v>
      </c>
      <c r="B20" s="17" t="s">
        <v>206</v>
      </c>
      <c r="C20" s="26">
        <f t="shared" si="1"/>
        <v>27.6</v>
      </c>
      <c r="D20" s="21"/>
      <c r="E20" s="21"/>
      <c r="F20" s="21">
        <v>27.6</v>
      </c>
      <c r="G20" s="26"/>
      <c r="H20" s="21"/>
      <c r="I20" s="21"/>
      <c r="J20" s="63">
        <f t="shared" si="0"/>
        <v>27.6</v>
      </c>
      <c r="K20" s="119"/>
      <c r="L20" s="74"/>
      <c r="M20" s="74"/>
      <c r="N20" s="74"/>
      <c r="O20" s="75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ht="12.75" customHeight="1">
      <c r="A21" s="55" t="s">
        <v>250</v>
      </c>
      <c r="B21" s="17" t="s">
        <v>251</v>
      </c>
      <c r="C21" s="26">
        <f t="shared" si="1"/>
        <v>2536.9</v>
      </c>
      <c r="D21" s="21"/>
      <c r="E21" s="21"/>
      <c r="F21" s="21">
        <f>1643.9+1000+700-1000+193</f>
        <v>2536.9</v>
      </c>
      <c r="G21" s="26"/>
      <c r="H21" s="21"/>
      <c r="I21" s="21"/>
      <c r="J21" s="63">
        <f t="shared" si="0"/>
        <v>2536.9</v>
      </c>
      <c r="K21" s="119"/>
      <c r="L21" s="74"/>
      <c r="M21" s="74"/>
      <c r="N21" s="74"/>
      <c r="O21" s="75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ht="29.25" customHeight="1">
      <c r="A22" s="60" t="s">
        <v>52</v>
      </c>
      <c r="B22" s="20" t="s">
        <v>337</v>
      </c>
      <c r="C22" s="26">
        <f t="shared" si="1"/>
        <v>720</v>
      </c>
      <c r="D22" s="26"/>
      <c r="E22" s="26"/>
      <c r="F22" s="26">
        <f>4000+2250-2250+720-4000</f>
        <v>720</v>
      </c>
      <c r="G22" s="26"/>
      <c r="H22" s="26"/>
      <c r="I22" s="26"/>
      <c r="J22" s="56">
        <f t="shared" si="0"/>
        <v>720</v>
      </c>
      <c r="K22" s="143"/>
      <c r="L22" s="1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36" customHeight="1">
      <c r="A23" s="60" t="s">
        <v>334</v>
      </c>
      <c r="B23" s="17" t="s">
        <v>335</v>
      </c>
      <c r="C23" s="26">
        <f t="shared" si="1"/>
        <v>0</v>
      </c>
      <c r="D23" s="26"/>
      <c r="E23" s="26"/>
      <c r="F23" s="26"/>
      <c r="G23" s="26">
        <f>H23</f>
        <v>1759</v>
      </c>
      <c r="H23" s="26">
        <f>1219+540</f>
        <v>1759</v>
      </c>
      <c r="I23" s="26"/>
      <c r="J23" s="56">
        <f t="shared" si="0"/>
        <v>1759</v>
      </c>
      <c r="K23" s="143"/>
      <c r="L23" s="1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25.5">
      <c r="A24" s="60" t="s">
        <v>448</v>
      </c>
      <c r="B24" s="17" t="s">
        <v>449</v>
      </c>
      <c r="C24" s="26">
        <f t="shared" si="1"/>
        <v>4758.2</v>
      </c>
      <c r="D24" s="26"/>
      <c r="E24" s="26"/>
      <c r="F24" s="26">
        <v>4758.2</v>
      </c>
      <c r="G24" s="26"/>
      <c r="H24" s="26"/>
      <c r="I24" s="26"/>
      <c r="J24" s="26">
        <f t="shared" si="0"/>
        <v>4758.2</v>
      </c>
      <c r="K24" s="7"/>
      <c r="L24" s="2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2.75">
      <c r="A25" s="55" t="s">
        <v>53</v>
      </c>
      <c r="B25" s="36" t="s">
        <v>206</v>
      </c>
      <c r="C25" s="26">
        <f t="shared" si="1"/>
        <v>691.2</v>
      </c>
      <c r="D25" s="21"/>
      <c r="E25" s="21"/>
      <c r="F25" s="21">
        <v>691.2</v>
      </c>
      <c r="G25" s="21">
        <f>H25</f>
        <v>0</v>
      </c>
      <c r="H25" s="21"/>
      <c r="I25" s="21"/>
      <c r="J25" s="63">
        <f t="shared" si="0"/>
        <v>691.2</v>
      </c>
      <c r="K25" s="78"/>
      <c r="L25" s="27"/>
      <c r="M25" s="78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ht="12.75">
      <c r="A26" s="55" t="s">
        <v>249</v>
      </c>
      <c r="B26" s="17" t="s">
        <v>265</v>
      </c>
      <c r="C26" s="26"/>
      <c r="D26" s="21"/>
      <c r="E26" s="21"/>
      <c r="F26" s="21"/>
      <c r="G26" s="21">
        <f>H26</f>
        <v>3912.3</v>
      </c>
      <c r="H26" s="21">
        <v>3912.3</v>
      </c>
      <c r="I26" s="21"/>
      <c r="J26" s="63">
        <f t="shared" si="0"/>
        <v>3912.3</v>
      </c>
      <c r="K26" s="78"/>
      <c r="L26" s="27"/>
      <c r="M26" s="78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ht="38.25">
      <c r="A27" s="400" t="s">
        <v>33</v>
      </c>
      <c r="B27" s="20" t="s">
        <v>68</v>
      </c>
      <c r="C27" s="26">
        <f>D27+E27+F27</f>
        <v>5931.1</v>
      </c>
      <c r="D27" s="21"/>
      <c r="E27" s="21"/>
      <c r="F27" s="21">
        <f>F29+F28+F31+F30</f>
        <v>5931.1</v>
      </c>
      <c r="G27" s="21"/>
      <c r="H27" s="21"/>
      <c r="I27" s="21"/>
      <c r="J27" s="63">
        <f t="shared" si="0"/>
        <v>5931.1</v>
      </c>
      <c r="K27" s="78"/>
      <c r="L27" s="27"/>
      <c r="M27" s="78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ht="13.5" customHeight="1">
      <c r="A28" s="390"/>
      <c r="B28" s="61" t="s">
        <v>378</v>
      </c>
      <c r="C28" s="26">
        <f>D28+E28+F28</f>
        <v>1662.6</v>
      </c>
      <c r="D28" s="21"/>
      <c r="E28" s="21"/>
      <c r="F28" s="21">
        <f>3000-1420+82.6</f>
        <v>1662.6</v>
      </c>
      <c r="G28" s="21"/>
      <c r="H28" s="21"/>
      <c r="I28" s="21"/>
      <c r="J28" s="63">
        <f t="shared" si="0"/>
        <v>1662.6</v>
      </c>
      <c r="K28" s="78"/>
      <c r="L28" s="27"/>
      <c r="M28" s="78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ht="26.25" customHeight="1">
      <c r="A29" s="390"/>
      <c r="B29" s="61" t="s">
        <v>263</v>
      </c>
      <c r="C29" s="26">
        <f t="shared" si="1"/>
        <v>54.5</v>
      </c>
      <c r="D29" s="21"/>
      <c r="E29" s="21"/>
      <c r="F29" s="21">
        <f>54.5</f>
        <v>54.5</v>
      </c>
      <c r="G29" s="21"/>
      <c r="H29" s="21"/>
      <c r="I29" s="21"/>
      <c r="J29" s="63">
        <f t="shared" si="0"/>
        <v>54.5</v>
      </c>
      <c r="K29" s="78"/>
      <c r="L29" s="27"/>
      <c r="M29" s="78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12" s="18" customFormat="1" ht="38.25">
      <c r="A30" s="390"/>
      <c r="B30" s="61" t="s">
        <v>457</v>
      </c>
      <c r="C30" s="108">
        <f>D30+E30+F30</f>
        <v>50</v>
      </c>
      <c r="D30" s="26"/>
      <c r="E30" s="26"/>
      <c r="F30" s="26">
        <v>50</v>
      </c>
      <c r="G30" s="26"/>
      <c r="H30" s="26"/>
      <c r="I30" s="26"/>
      <c r="J30" s="108">
        <f>C30+G30</f>
        <v>50</v>
      </c>
      <c r="K30" s="24"/>
      <c r="L30" s="24"/>
    </row>
    <row r="31" spans="1:58" ht="26.25" customHeight="1">
      <c r="A31" s="401"/>
      <c r="B31" s="61" t="s">
        <v>446</v>
      </c>
      <c r="C31" s="26">
        <f t="shared" si="1"/>
        <v>4164</v>
      </c>
      <c r="D31" s="21"/>
      <c r="E31" s="21"/>
      <c r="F31" s="21">
        <f>4000+164</f>
        <v>4164</v>
      </c>
      <c r="G31" s="21"/>
      <c r="H31" s="21"/>
      <c r="I31" s="21"/>
      <c r="J31" s="63">
        <f t="shared" si="0"/>
        <v>4164</v>
      </c>
      <c r="K31" s="78"/>
      <c r="L31" s="27"/>
      <c r="M31" s="78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s="18" customFormat="1" ht="40.5" customHeight="1">
      <c r="A32" s="367"/>
      <c r="B32" s="81" t="s">
        <v>460</v>
      </c>
      <c r="C32" s="130">
        <f aca="true" t="shared" si="2" ref="C32:H32">C33</f>
        <v>130</v>
      </c>
      <c r="D32" s="130">
        <f t="shared" si="2"/>
        <v>0</v>
      </c>
      <c r="E32" s="130">
        <f t="shared" si="2"/>
        <v>0</v>
      </c>
      <c r="F32" s="130">
        <f t="shared" si="2"/>
        <v>130</v>
      </c>
      <c r="G32" s="130">
        <f t="shared" si="2"/>
        <v>0</v>
      </c>
      <c r="H32" s="130">
        <f t="shared" si="2"/>
        <v>0</v>
      </c>
      <c r="I32" s="23"/>
      <c r="J32" s="76">
        <f t="shared" si="0"/>
        <v>130</v>
      </c>
      <c r="K32" s="77"/>
      <c r="L32" s="35"/>
      <c r="M32" s="77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</row>
    <row r="33" spans="1:58" ht="26.25" customHeight="1">
      <c r="A33" s="112" t="s">
        <v>52</v>
      </c>
      <c r="B33" s="20" t="s">
        <v>337</v>
      </c>
      <c r="C33" s="26">
        <f>D33+E33+F33</f>
        <v>130</v>
      </c>
      <c r="D33" s="21"/>
      <c r="E33" s="21"/>
      <c r="F33" s="21">
        <v>130</v>
      </c>
      <c r="G33" s="21"/>
      <c r="H33" s="21"/>
      <c r="I33" s="21"/>
      <c r="J33" s="63">
        <f aca="true" t="shared" si="3" ref="J33:J40">C33+G33</f>
        <v>130</v>
      </c>
      <c r="K33" s="78"/>
      <c r="L33" s="27"/>
      <c r="M33" s="78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11" s="18" customFormat="1" ht="22.5" customHeight="1">
      <c r="A34" s="54"/>
      <c r="B34" s="47" t="s">
        <v>511</v>
      </c>
      <c r="C34" s="130">
        <f>D34+E34+F34</f>
        <v>474413.79999999993</v>
      </c>
      <c r="D34" s="41">
        <f>D35+D37+D38+D36</f>
        <v>153668.6</v>
      </c>
      <c r="E34" s="41">
        <f>E35+E37+E38+E36</f>
        <v>46783.700000000004</v>
      </c>
      <c r="F34" s="41">
        <f>F35+F37+F38+F36</f>
        <v>273961.49999999994</v>
      </c>
      <c r="G34" s="41">
        <f>G35+G37+G38</f>
        <v>2918.9</v>
      </c>
      <c r="H34" s="41">
        <f>H35+H37+H38</f>
        <v>0</v>
      </c>
      <c r="I34" s="41">
        <f>I35+I37+I38</f>
        <v>0</v>
      </c>
      <c r="J34" s="76">
        <f t="shared" si="0"/>
        <v>477332.69999999995</v>
      </c>
      <c r="K34" s="24"/>
    </row>
    <row r="35" spans="1:58" ht="29.25" customHeight="1">
      <c r="A35" s="55" t="s">
        <v>169</v>
      </c>
      <c r="B35" s="20" t="s">
        <v>344</v>
      </c>
      <c r="C35" s="26">
        <f>D35+E35+F35</f>
        <v>461610</v>
      </c>
      <c r="D35" s="26">
        <v>152884.4</v>
      </c>
      <c r="E35" s="26">
        <v>46775.3</v>
      </c>
      <c r="F35" s="26">
        <f>260950.3+1000</f>
        <v>261950.3</v>
      </c>
      <c r="G35" s="21">
        <v>2918.9</v>
      </c>
      <c r="H35" s="21"/>
      <c r="I35" s="21"/>
      <c r="J35" s="63">
        <f t="shared" si="3"/>
        <v>464528.9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ht="31.5" customHeight="1">
      <c r="A36" s="55" t="s">
        <v>137</v>
      </c>
      <c r="B36" s="20" t="s">
        <v>287</v>
      </c>
      <c r="C36" s="26">
        <f>D36+E36+F36</f>
        <v>1245.4</v>
      </c>
      <c r="D36" s="26">
        <v>784.2</v>
      </c>
      <c r="E36" s="26">
        <v>8.4</v>
      </c>
      <c r="F36" s="26">
        <v>452.8</v>
      </c>
      <c r="G36" s="21"/>
      <c r="H36" s="21"/>
      <c r="I36" s="21"/>
      <c r="J36" s="63">
        <f t="shared" si="3"/>
        <v>1245.4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</row>
    <row r="37" spans="1:58" ht="25.5" customHeight="1">
      <c r="A37" s="55" t="s">
        <v>32</v>
      </c>
      <c r="B37" s="17" t="s">
        <v>336</v>
      </c>
      <c r="C37" s="26">
        <f aca="true" t="shared" si="4" ref="C37:C57">D37+E37+F37</f>
        <v>11259.1</v>
      </c>
      <c r="D37" s="21"/>
      <c r="E37" s="21"/>
      <c r="F37" s="21">
        <v>11259.1</v>
      </c>
      <c r="G37" s="21"/>
      <c r="H37" s="21"/>
      <c r="I37" s="21"/>
      <c r="J37" s="63">
        <f t="shared" si="3"/>
        <v>11259.1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</row>
    <row r="38" spans="1:58" ht="38.25">
      <c r="A38" s="60" t="s">
        <v>33</v>
      </c>
      <c r="B38" s="20" t="s">
        <v>68</v>
      </c>
      <c r="C38" s="26">
        <f t="shared" si="4"/>
        <v>299.3</v>
      </c>
      <c r="D38" s="21"/>
      <c r="E38" s="21"/>
      <c r="F38" s="21">
        <f>F39</f>
        <v>299.3</v>
      </c>
      <c r="G38" s="21"/>
      <c r="H38" s="21"/>
      <c r="I38" s="21"/>
      <c r="J38" s="63">
        <f t="shared" si="3"/>
        <v>299.3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ht="38.25" customHeight="1">
      <c r="A39" s="60"/>
      <c r="B39" s="61" t="s">
        <v>432</v>
      </c>
      <c r="C39" s="26">
        <f t="shared" si="4"/>
        <v>299.3</v>
      </c>
      <c r="D39" s="21"/>
      <c r="E39" s="21"/>
      <c r="F39" s="21">
        <v>299.3</v>
      </c>
      <c r="G39" s="21"/>
      <c r="H39" s="21"/>
      <c r="I39" s="21"/>
      <c r="J39" s="63">
        <f t="shared" si="3"/>
        <v>299.3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s="18" customFormat="1" ht="12.75">
      <c r="A40" s="54"/>
      <c r="B40" s="48" t="s">
        <v>510</v>
      </c>
      <c r="C40" s="41">
        <f t="shared" si="4"/>
        <v>1157064.5999999999</v>
      </c>
      <c r="D40" s="41">
        <f>D41+D49+D50</f>
        <v>459069.7</v>
      </c>
      <c r="E40" s="41">
        <f>E41+E49+E50</f>
        <v>90396.5</v>
      </c>
      <c r="F40" s="41">
        <f>F41+F49+F50+F53+F51</f>
        <v>607598.3999999999</v>
      </c>
      <c r="G40" s="41">
        <f>G41+G49</f>
        <v>76643.59999999999</v>
      </c>
      <c r="H40" s="41">
        <f>H41+H49+H50</f>
        <v>0</v>
      </c>
      <c r="I40" s="41">
        <f>I41+I49+I50</f>
        <v>0</v>
      </c>
      <c r="J40" s="76">
        <f t="shared" si="3"/>
        <v>1233708.2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</row>
    <row r="41" spans="1:58" ht="39" customHeight="1">
      <c r="A41" s="55" t="s">
        <v>171</v>
      </c>
      <c r="B41" s="36" t="s">
        <v>390</v>
      </c>
      <c r="C41" s="26">
        <f t="shared" si="4"/>
        <v>1110712.7</v>
      </c>
      <c r="D41" s="21">
        <v>442915</v>
      </c>
      <c r="E41" s="21">
        <f>94857.3-5000-4122.1</f>
        <v>85735.2</v>
      </c>
      <c r="F41" s="21">
        <f>531447.5+3000-2000+3000+3000-1000+4000+1800+2700+182.5+18000+5530+500+4122.1+7780.4</f>
        <v>582062.5</v>
      </c>
      <c r="G41" s="21">
        <f>30037.9+G45</f>
        <v>70037.9</v>
      </c>
      <c r="H41" s="21"/>
      <c r="I41" s="21"/>
      <c r="J41" s="63">
        <f aca="true" t="shared" si="5" ref="J41:J98">C41+G41</f>
        <v>1180750.5999999999</v>
      </c>
      <c r="K41" s="78"/>
      <c r="L41" s="120"/>
      <c r="M41" s="78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</row>
    <row r="42" spans="1:58" ht="25.5">
      <c r="A42" s="55" t="s">
        <v>211</v>
      </c>
      <c r="B42" s="36" t="s">
        <v>371</v>
      </c>
      <c r="C42" s="26">
        <f t="shared" si="4"/>
        <v>38398</v>
      </c>
      <c r="D42" s="21"/>
      <c r="E42" s="21"/>
      <c r="F42" s="26">
        <v>38398</v>
      </c>
      <c r="G42" s="21"/>
      <c r="H42" s="21"/>
      <c r="I42" s="21"/>
      <c r="J42" s="63">
        <f t="shared" si="5"/>
        <v>38398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</row>
    <row r="43" spans="1:59" ht="12.75" hidden="1">
      <c r="A43" s="55"/>
      <c r="B43" s="61"/>
      <c r="C43" s="26">
        <f t="shared" si="4"/>
        <v>0</v>
      </c>
      <c r="D43" s="21"/>
      <c r="E43" s="21"/>
      <c r="F43" s="21"/>
      <c r="G43" s="21"/>
      <c r="H43" s="21"/>
      <c r="I43" s="21"/>
      <c r="J43" s="21">
        <f t="shared" si="5"/>
        <v>0</v>
      </c>
      <c r="K43" s="63">
        <f>C43+H43</f>
        <v>0</v>
      </c>
      <c r="L43" s="316"/>
      <c r="M43" s="23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</row>
    <row r="44" spans="1:13" s="18" customFormat="1" ht="51">
      <c r="A44" s="400" t="s">
        <v>74</v>
      </c>
      <c r="B44" s="36" t="s">
        <v>397</v>
      </c>
      <c r="C44" s="26">
        <f t="shared" si="4"/>
        <v>19800</v>
      </c>
      <c r="D44" s="21"/>
      <c r="E44" s="21"/>
      <c r="F44" s="21">
        <f>3000+1800+18000-3000</f>
        <v>19800</v>
      </c>
      <c r="G44" s="21"/>
      <c r="H44" s="21"/>
      <c r="I44" s="21"/>
      <c r="J44" s="21">
        <f t="shared" si="5"/>
        <v>19800</v>
      </c>
      <c r="K44" s="24"/>
      <c r="L44" s="24"/>
      <c r="M44" s="317"/>
    </row>
    <row r="45" spans="1:12" s="18" customFormat="1" ht="51">
      <c r="A45" s="390"/>
      <c r="B45" s="309" t="s">
        <v>72</v>
      </c>
      <c r="C45" s="26">
        <f t="shared" si="4"/>
        <v>0</v>
      </c>
      <c r="D45" s="21"/>
      <c r="E45" s="21"/>
      <c r="F45" s="21"/>
      <c r="G45" s="21">
        <v>40000</v>
      </c>
      <c r="H45" s="21"/>
      <c r="I45" s="21"/>
      <c r="J45" s="21">
        <f t="shared" si="5"/>
        <v>40000</v>
      </c>
      <c r="K45" s="24"/>
      <c r="L45" s="24"/>
    </row>
    <row r="46" spans="1:12" s="18" customFormat="1" ht="54" customHeight="1">
      <c r="A46" s="401"/>
      <c r="B46" s="309" t="s">
        <v>339</v>
      </c>
      <c r="C46" s="26">
        <f t="shared" si="4"/>
        <v>3000</v>
      </c>
      <c r="D46" s="21"/>
      <c r="E46" s="21"/>
      <c r="F46" s="21">
        <v>3000</v>
      </c>
      <c r="G46" s="21"/>
      <c r="H46" s="21"/>
      <c r="I46" s="21"/>
      <c r="J46" s="21">
        <f t="shared" si="5"/>
        <v>3000</v>
      </c>
      <c r="K46" s="24"/>
      <c r="L46" s="24"/>
    </row>
    <row r="47" spans="1:12" s="18" customFormat="1" ht="54" customHeight="1">
      <c r="A47" s="112" t="s">
        <v>71</v>
      </c>
      <c r="B47" s="309" t="s">
        <v>75</v>
      </c>
      <c r="C47" s="26">
        <f t="shared" si="4"/>
        <v>7780.4</v>
      </c>
      <c r="D47" s="21"/>
      <c r="E47" s="21"/>
      <c r="F47" s="21">
        <v>7780.4</v>
      </c>
      <c r="G47" s="21"/>
      <c r="H47" s="21"/>
      <c r="I47" s="21"/>
      <c r="J47" s="21">
        <f t="shared" si="5"/>
        <v>7780.4</v>
      </c>
      <c r="K47" s="24"/>
      <c r="L47" s="24"/>
    </row>
    <row r="48" spans="1:12" s="18" customFormat="1" ht="51">
      <c r="A48" s="112" t="s">
        <v>357</v>
      </c>
      <c r="B48" s="309" t="s">
        <v>499</v>
      </c>
      <c r="C48" s="26">
        <f t="shared" si="4"/>
        <v>500</v>
      </c>
      <c r="D48" s="21"/>
      <c r="E48" s="21"/>
      <c r="F48" s="21">
        <v>500</v>
      </c>
      <c r="G48" s="21"/>
      <c r="H48" s="21"/>
      <c r="I48" s="21"/>
      <c r="J48" s="21">
        <f>C48+G48</f>
        <v>500</v>
      </c>
      <c r="K48" s="24"/>
      <c r="L48" s="24"/>
    </row>
    <row r="49" spans="1:58" ht="42.75" customHeight="1">
      <c r="A49" s="55" t="s">
        <v>169</v>
      </c>
      <c r="B49" s="36" t="s">
        <v>338</v>
      </c>
      <c r="C49" s="26">
        <f t="shared" si="4"/>
        <v>43671.6</v>
      </c>
      <c r="D49" s="21">
        <v>15302.2</v>
      </c>
      <c r="E49" s="21">
        <v>4585.3</v>
      </c>
      <c r="F49" s="21">
        <v>23784.1</v>
      </c>
      <c r="G49" s="21">
        <v>6605.7</v>
      </c>
      <c r="H49" s="21"/>
      <c r="I49" s="21"/>
      <c r="J49" s="21">
        <f t="shared" si="5"/>
        <v>50277.299999999996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</row>
    <row r="50" spans="1:58" ht="12.75" customHeight="1">
      <c r="A50" s="55" t="s">
        <v>138</v>
      </c>
      <c r="B50" s="36" t="s">
        <v>207</v>
      </c>
      <c r="C50" s="26">
        <f t="shared" si="4"/>
        <v>1575.7</v>
      </c>
      <c r="D50" s="21">
        <v>852.5</v>
      </c>
      <c r="E50" s="21">
        <v>76</v>
      </c>
      <c r="F50" s="21">
        <v>647.2</v>
      </c>
      <c r="G50" s="21">
        <v>0</v>
      </c>
      <c r="H50" s="21"/>
      <c r="I50" s="21"/>
      <c r="J50" s="21">
        <f t="shared" si="5"/>
        <v>1575.7</v>
      </c>
      <c r="K50" s="78"/>
      <c r="L50" s="27"/>
      <c r="M50" s="78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</row>
    <row r="51" spans="1:12" s="18" customFormat="1" ht="38.25">
      <c r="A51" s="55" t="s">
        <v>33</v>
      </c>
      <c r="B51" s="61" t="s">
        <v>68</v>
      </c>
      <c r="C51" s="108">
        <f>D51+E51+F51</f>
        <v>14.1</v>
      </c>
      <c r="D51" s="26"/>
      <c r="E51" s="26"/>
      <c r="F51" s="26">
        <f>F52</f>
        <v>14.1</v>
      </c>
      <c r="G51" s="26"/>
      <c r="H51" s="26"/>
      <c r="I51" s="26"/>
      <c r="J51" s="108">
        <f t="shared" si="5"/>
        <v>14.1</v>
      </c>
      <c r="K51" s="24"/>
      <c r="L51" s="24"/>
    </row>
    <row r="52" spans="1:12" s="18" customFormat="1" ht="63.75">
      <c r="A52" s="55"/>
      <c r="B52" s="61" t="s">
        <v>458</v>
      </c>
      <c r="C52" s="108">
        <f>D52+E52+F52</f>
        <v>14.1</v>
      </c>
      <c r="D52" s="26"/>
      <c r="E52" s="26"/>
      <c r="F52" s="26">
        <v>14.1</v>
      </c>
      <c r="G52" s="26"/>
      <c r="H52" s="26"/>
      <c r="I52" s="26"/>
      <c r="J52" s="108">
        <f>C52+G52</f>
        <v>14.1</v>
      </c>
      <c r="K52" s="24"/>
      <c r="L52" s="24"/>
    </row>
    <row r="53" spans="1:58" ht="26.25" customHeight="1">
      <c r="A53" s="55" t="s">
        <v>32</v>
      </c>
      <c r="B53" s="17" t="s">
        <v>336</v>
      </c>
      <c r="C53" s="26">
        <f t="shared" si="4"/>
        <v>1090.5</v>
      </c>
      <c r="D53" s="21"/>
      <c r="E53" s="21"/>
      <c r="F53" s="21">
        <v>1090.5</v>
      </c>
      <c r="G53" s="21"/>
      <c r="H53" s="21"/>
      <c r="I53" s="21"/>
      <c r="J53" s="63">
        <f t="shared" si="5"/>
        <v>1090.5</v>
      </c>
      <c r="K53" s="78"/>
      <c r="L53" s="27"/>
      <c r="M53" s="78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</row>
    <row r="54" spans="1:58" s="18" customFormat="1" ht="25.5" customHeight="1">
      <c r="A54" s="54"/>
      <c r="B54" s="48" t="s">
        <v>166</v>
      </c>
      <c r="C54" s="41">
        <f t="shared" si="4"/>
        <v>204265.2</v>
      </c>
      <c r="D54" s="41">
        <f>D56+D57+D59+D60+D61+D58+D55</f>
        <v>73130.8</v>
      </c>
      <c r="E54" s="41">
        <f>E56+E57+E59+E60+E61+E58+E55</f>
        <v>24485.7</v>
      </c>
      <c r="F54" s="41">
        <f>F56+F57+F59+F60+F61+F58+F55+F62</f>
        <v>106648.7</v>
      </c>
      <c r="G54" s="41">
        <f>G56+G57+G59+G60+G61+G58+G55+G63</f>
        <v>36543.5</v>
      </c>
      <c r="H54" s="41">
        <f>H56+H57+H59+H60+H61+H58+H55</f>
        <v>0</v>
      </c>
      <c r="I54" s="41" t="e">
        <f>I56+#REF!+#REF!+I57+I59+#REF!+I60+I61+#REF!+#REF!+#REF!+I58+#REF!+#REF!+I55</f>
        <v>#REF!</v>
      </c>
      <c r="J54" s="76">
        <f>C54+G54</f>
        <v>240808.7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</row>
    <row r="55" spans="1:11" s="18" customFormat="1" ht="27" customHeight="1">
      <c r="A55" s="55" t="s">
        <v>43</v>
      </c>
      <c r="B55" s="138" t="s">
        <v>44</v>
      </c>
      <c r="C55" s="26">
        <f t="shared" si="4"/>
        <v>1344.4</v>
      </c>
      <c r="D55" s="128"/>
      <c r="E55" s="128"/>
      <c r="F55" s="26">
        <v>1344.4</v>
      </c>
      <c r="G55" s="128"/>
      <c r="H55" s="128"/>
      <c r="I55" s="128"/>
      <c r="J55" s="56">
        <f t="shared" si="5"/>
        <v>1344.4</v>
      </c>
      <c r="K55" s="24"/>
    </row>
    <row r="56" spans="1:58" ht="15" customHeight="1">
      <c r="A56" s="55" t="s">
        <v>176</v>
      </c>
      <c r="B56" s="20" t="s">
        <v>373</v>
      </c>
      <c r="C56" s="26">
        <f t="shared" si="4"/>
        <v>0.6</v>
      </c>
      <c r="D56" s="21"/>
      <c r="E56" s="21"/>
      <c r="F56" s="21">
        <v>0.6</v>
      </c>
      <c r="G56" s="21"/>
      <c r="H56" s="21"/>
      <c r="I56" s="21"/>
      <c r="J56" s="63">
        <f t="shared" si="5"/>
        <v>0.6</v>
      </c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</row>
    <row r="57" spans="1:58" ht="104.25" customHeight="1">
      <c r="A57" s="55" t="s">
        <v>56</v>
      </c>
      <c r="B57" s="20" t="s">
        <v>55</v>
      </c>
      <c r="C57" s="26">
        <f t="shared" si="4"/>
        <v>195163.2</v>
      </c>
      <c r="D57" s="21">
        <f>72400.3+730.5</f>
        <v>73130.8</v>
      </c>
      <c r="E57" s="21">
        <f>27485.7-3000</f>
        <v>24485.7</v>
      </c>
      <c r="F57" s="21">
        <f>92581.3+1500+465.4+3000</f>
        <v>97546.7</v>
      </c>
      <c r="G57" s="21">
        <v>36543.5</v>
      </c>
      <c r="H57" s="21"/>
      <c r="I57" s="21"/>
      <c r="J57" s="63">
        <f t="shared" si="5"/>
        <v>231706.7</v>
      </c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1:58" ht="29.25" customHeight="1">
      <c r="A58" s="55" t="s">
        <v>179</v>
      </c>
      <c r="B58" s="20" t="s">
        <v>208</v>
      </c>
      <c r="C58" s="26">
        <f>D58+E58+F58</f>
        <v>164.4</v>
      </c>
      <c r="D58" s="26"/>
      <c r="E58" s="26"/>
      <c r="F58" s="26">
        <f>179.4-15</f>
        <v>164.4</v>
      </c>
      <c r="G58" s="26"/>
      <c r="H58" s="26"/>
      <c r="I58" s="26"/>
      <c r="J58" s="56">
        <f t="shared" si="5"/>
        <v>164.4</v>
      </c>
      <c r="K58" s="7"/>
      <c r="L58" s="1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 ht="27.75" customHeight="1">
      <c r="A59" s="55" t="s">
        <v>54</v>
      </c>
      <c r="B59" s="17" t="s">
        <v>374</v>
      </c>
      <c r="C59" s="26">
        <f aca="true" t="shared" si="6" ref="C59:C83">D59+E59+F59</f>
        <v>2302.3</v>
      </c>
      <c r="D59" s="21"/>
      <c r="E59" s="21"/>
      <c r="F59" s="21">
        <f>1273.1+1029.2</f>
        <v>2302.3</v>
      </c>
      <c r="G59" s="21"/>
      <c r="H59" s="21"/>
      <c r="I59" s="21"/>
      <c r="J59" s="63">
        <f t="shared" si="5"/>
        <v>2302.3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</row>
    <row r="60" spans="1:58" ht="28.5" customHeight="1">
      <c r="A60" s="55" t="s">
        <v>219</v>
      </c>
      <c r="B60" s="20" t="s">
        <v>221</v>
      </c>
      <c r="C60" s="26">
        <f t="shared" si="6"/>
        <v>820.5</v>
      </c>
      <c r="D60" s="26"/>
      <c r="E60" s="26"/>
      <c r="F60" s="26">
        <f>900-79.5</f>
        <v>820.5</v>
      </c>
      <c r="G60" s="21"/>
      <c r="H60" s="21"/>
      <c r="I60" s="21"/>
      <c r="J60" s="63">
        <f t="shared" si="5"/>
        <v>820.5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</row>
    <row r="61" spans="1:58" ht="13.5" customHeight="1">
      <c r="A61" s="55" t="s">
        <v>222</v>
      </c>
      <c r="B61" s="20" t="s">
        <v>220</v>
      </c>
      <c r="C61" s="26">
        <f t="shared" si="6"/>
        <v>130</v>
      </c>
      <c r="D61" s="26"/>
      <c r="E61" s="26"/>
      <c r="F61" s="26">
        <f>1064.7-934.7</f>
        <v>130</v>
      </c>
      <c r="G61" s="21"/>
      <c r="H61" s="21"/>
      <c r="I61" s="21"/>
      <c r="J61" s="63">
        <f t="shared" si="5"/>
        <v>130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</row>
    <row r="62" spans="1:58" ht="27" customHeight="1">
      <c r="A62" s="55" t="s">
        <v>32</v>
      </c>
      <c r="B62" s="17" t="s">
        <v>336</v>
      </c>
      <c r="C62" s="26">
        <f t="shared" si="6"/>
        <v>4339.8</v>
      </c>
      <c r="D62" s="26"/>
      <c r="E62" s="26"/>
      <c r="F62" s="26">
        <v>4339.8</v>
      </c>
      <c r="G62" s="21"/>
      <c r="H62" s="21"/>
      <c r="I62" s="21"/>
      <c r="J62" s="63">
        <f t="shared" si="5"/>
        <v>4339.8</v>
      </c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</row>
    <row r="63" spans="1:58" ht="91.5" customHeight="1" hidden="1">
      <c r="A63" s="55" t="s">
        <v>227</v>
      </c>
      <c r="B63" s="208" t="s">
        <v>388</v>
      </c>
      <c r="C63" s="26"/>
      <c r="D63" s="26"/>
      <c r="E63" s="26"/>
      <c r="F63" s="26"/>
      <c r="G63" s="21"/>
      <c r="H63" s="21"/>
      <c r="I63" s="21"/>
      <c r="J63" s="63">
        <f t="shared" si="5"/>
        <v>0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</row>
    <row r="64" spans="1:10" ht="27.75" customHeight="1">
      <c r="A64" s="54"/>
      <c r="B64" s="49" t="s">
        <v>167</v>
      </c>
      <c r="C64" s="41">
        <f>D64+E64+F64</f>
        <v>25612.329</v>
      </c>
      <c r="D64" s="41">
        <f>D65+D66+D67+D68+D69+D70+D71+D72</f>
        <v>2366.857</v>
      </c>
      <c r="E64" s="41">
        <f>E65+E66+E67+E68+E69+E70+E71+E72</f>
        <v>670.5</v>
      </c>
      <c r="F64" s="41">
        <f>F65+F66+F67+F68+F69+F70+F71+F72</f>
        <v>22574.972</v>
      </c>
      <c r="G64" s="41">
        <f>G65+G66+G67+G68+G69+G70+G71+G72</f>
        <v>0</v>
      </c>
      <c r="H64" s="41">
        <f>H65+H66+H67+H68+H69+H70+H71+H72</f>
        <v>0</v>
      </c>
      <c r="I64" s="23"/>
      <c r="J64" s="76">
        <f t="shared" si="5"/>
        <v>25612.329</v>
      </c>
    </row>
    <row r="65" spans="1:58" ht="27" customHeight="1">
      <c r="A65" s="55" t="s">
        <v>16</v>
      </c>
      <c r="B65" s="17" t="s">
        <v>391</v>
      </c>
      <c r="C65" s="26">
        <f t="shared" si="6"/>
        <v>1199.2</v>
      </c>
      <c r="D65" s="26">
        <v>705</v>
      </c>
      <c r="E65" s="26">
        <v>47.6</v>
      </c>
      <c r="F65" s="26">
        <v>446.6</v>
      </c>
      <c r="G65" s="21"/>
      <c r="H65" s="21"/>
      <c r="I65" s="21"/>
      <c r="J65" s="63">
        <f t="shared" si="5"/>
        <v>1199.2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</row>
    <row r="66" spans="1:58" ht="25.5">
      <c r="A66" s="55" t="s">
        <v>17</v>
      </c>
      <c r="B66" s="17" t="s">
        <v>392</v>
      </c>
      <c r="C66" s="26">
        <f t="shared" si="6"/>
        <v>203.8</v>
      </c>
      <c r="D66" s="26"/>
      <c r="E66" s="26"/>
      <c r="F66" s="26">
        <v>203.8</v>
      </c>
      <c r="G66" s="21"/>
      <c r="H66" s="21"/>
      <c r="I66" s="21"/>
      <c r="J66" s="63">
        <f t="shared" si="5"/>
        <v>203.8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</row>
    <row r="67" spans="1:58" ht="25.5">
      <c r="A67" s="55" t="s">
        <v>18</v>
      </c>
      <c r="B67" s="17" t="s">
        <v>48</v>
      </c>
      <c r="C67" s="26">
        <f t="shared" si="6"/>
        <v>1222.4</v>
      </c>
      <c r="D67" s="26"/>
      <c r="E67" s="26"/>
      <c r="F67" s="26">
        <v>1222.4</v>
      </c>
      <c r="G67" s="21"/>
      <c r="H67" s="21"/>
      <c r="I67" s="21"/>
      <c r="J67" s="63">
        <f t="shared" si="5"/>
        <v>1222.4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38.25">
      <c r="A68" s="55" t="s">
        <v>19</v>
      </c>
      <c r="B68" s="17" t="s">
        <v>393</v>
      </c>
      <c r="C68" s="26">
        <f t="shared" si="6"/>
        <v>149.3</v>
      </c>
      <c r="D68" s="26"/>
      <c r="E68" s="26"/>
      <c r="F68" s="26">
        <v>149.3</v>
      </c>
      <c r="G68" s="21"/>
      <c r="H68" s="21"/>
      <c r="I68" s="21"/>
      <c r="J68" s="63">
        <f t="shared" si="5"/>
        <v>149.3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</row>
    <row r="69" spans="1:58" ht="15" customHeight="1">
      <c r="A69" s="55" t="s">
        <v>20</v>
      </c>
      <c r="B69" s="17" t="s">
        <v>21</v>
      </c>
      <c r="C69" s="26">
        <f t="shared" si="6"/>
        <v>1235.6</v>
      </c>
      <c r="D69" s="26">
        <v>458.1</v>
      </c>
      <c r="E69" s="26">
        <v>63</v>
      </c>
      <c r="F69" s="26">
        <v>714.5</v>
      </c>
      <c r="G69" s="21"/>
      <c r="H69" s="21"/>
      <c r="I69" s="21"/>
      <c r="J69" s="63">
        <f t="shared" si="5"/>
        <v>1235.6</v>
      </c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</row>
    <row r="70" spans="1:58" ht="12.75">
      <c r="A70" s="55" t="s">
        <v>22</v>
      </c>
      <c r="B70" s="17" t="s">
        <v>23</v>
      </c>
      <c r="C70" s="26">
        <f t="shared" si="6"/>
        <v>3336.629</v>
      </c>
      <c r="D70" s="26">
        <f>1190.1+13.657</f>
        <v>1203.7569999999998</v>
      </c>
      <c r="E70" s="26">
        <v>559.9</v>
      </c>
      <c r="F70" s="26">
        <f>1551.9+21.072</f>
        <v>1572.972</v>
      </c>
      <c r="G70" s="21"/>
      <c r="H70" s="21"/>
      <c r="I70" s="21"/>
      <c r="J70" s="63">
        <f t="shared" si="5"/>
        <v>3336.629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</row>
    <row r="71" spans="1:58" ht="25.5">
      <c r="A71" s="55" t="s">
        <v>24</v>
      </c>
      <c r="B71" s="17" t="s">
        <v>25</v>
      </c>
      <c r="C71" s="26">
        <f t="shared" si="6"/>
        <v>225.4</v>
      </c>
      <c r="D71" s="26"/>
      <c r="E71" s="26"/>
      <c r="F71" s="26">
        <v>225.4</v>
      </c>
      <c r="G71" s="21"/>
      <c r="H71" s="21"/>
      <c r="I71" s="21"/>
      <c r="J71" s="63">
        <f t="shared" si="5"/>
        <v>225.4</v>
      </c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</row>
    <row r="72" spans="1:58" ht="51">
      <c r="A72" s="55" t="s">
        <v>42</v>
      </c>
      <c r="B72" s="20" t="s">
        <v>394</v>
      </c>
      <c r="C72" s="26">
        <f t="shared" si="6"/>
        <v>18040</v>
      </c>
      <c r="D72" s="26"/>
      <c r="E72" s="26"/>
      <c r="F72" s="26">
        <f>17530+10+500</f>
        <v>18040</v>
      </c>
      <c r="G72" s="26"/>
      <c r="H72" s="26"/>
      <c r="I72" s="26"/>
      <c r="J72" s="56">
        <f t="shared" si="5"/>
        <v>18040</v>
      </c>
      <c r="K72" s="7"/>
      <c r="L72" s="18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 s="18" customFormat="1" ht="29.25" customHeight="1">
      <c r="A73" s="54"/>
      <c r="B73" s="49" t="s">
        <v>330</v>
      </c>
      <c r="C73" s="41">
        <f>D73+E73+F73</f>
        <v>37791.543</v>
      </c>
      <c r="D73" s="23"/>
      <c r="E73" s="23"/>
      <c r="F73" s="23">
        <f>F76+F80+F74+F75+F78</f>
        <v>37791.543</v>
      </c>
      <c r="G73" s="23">
        <f>G76+G80+G79+G77</f>
        <v>450120.9</v>
      </c>
      <c r="H73" s="23">
        <f>H76+H80+H79</f>
        <v>0</v>
      </c>
      <c r="I73" s="23"/>
      <c r="J73" s="76">
        <f t="shared" si="5"/>
        <v>487912.443</v>
      </c>
      <c r="K73" s="77"/>
      <c r="L73" s="77"/>
      <c r="M73" s="77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1:58" s="18" customFormat="1" ht="15" customHeight="1">
      <c r="A74" s="55" t="s">
        <v>269</v>
      </c>
      <c r="B74" s="17" t="s">
        <v>271</v>
      </c>
      <c r="C74" s="26">
        <f t="shared" si="6"/>
        <v>200</v>
      </c>
      <c r="D74" s="23"/>
      <c r="E74" s="23"/>
      <c r="F74" s="21">
        <v>200</v>
      </c>
      <c r="G74" s="23"/>
      <c r="H74" s="23"/>
      <c r="I74" s="23"/>
      <c r="J74" s="63">
        <f t="shared" si="5"/>
        <v>200</v>
      </c>
      <c r="K74" s="77"/>
      <c r="L74" s="77"/>
      <c r="M74" s="77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58" s="18" customFormat="1" ht="13.5" customHeight="1">
      <c r="A75" s="55" t="s">
        <v>270</v>
      </c>
      <c r="B75" s="17" t="s">
        <v>272</v>
      </c>
      <c r="C75" s="26">
        <f t="shared" si="6"/>
        <v>10000</v>
      </c>
      <c r="D75" s="23"/>
      <c r="E75" s="23"/>
      <c r="F75" s="21">
        <v>10000</v>
      </c>
      <c r="G75" s="23"/>
      <c r="H75" s="23"/>
      <c r="I75" s="23"/>
      <c r="J75" s="63">
        <f t="shared" si="5"/>
        <v>10000</v>
      </c>
      <c r="K75" s="77"/>
      <c r="L75" s="77"/>
      <c r="M75" s="77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1:58" s="18" customFormat="1" ht="13.5" customHeight="1">
      <c r="A76" s="55" t="s">
        <v>247</v>
      </c>
      <c r="B76" s="17" t="s">
        <v>342</v>
      </c>
      <c r="C76" s="26">
        <f t="shared" si="6"/>
        <v>27136.743</v>
      </c>
      <c r="D76" s="23"/>
      <c r="E76" s="23"/>
      <c r="F76" s="21">
        <f>5647.8+10000+10000+1488.943</f>
        <v>27136.743</v>
      </c>
      <c r="G76" s="118">
        <f>H76</f>
        <v>0</v>
      </c>
      <c r="H76" s="21"/>
      <c r="I76" s="23"/>
      <c r="J76" s="63">
        <f t="shared" si="5"/>
        <v>27136.743</v>
      </c>
      <c r="K76" s="77"/>
      <c r="L76" s="77"/>
      <c r="M76" s="77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1:58" s="18" customFormat="1" ht="102">
      <c r="A77" s="55" t="s">
        <v>213</v>
      </c>
      <c r="B77" s="61" t="s">
        <v>215</v>
      </c>
      <c r="C77" s="26"/>
      <c r="D77" s="23"/>
      <c r="E77" s="23"/>
      <c r="F77" s="21"/>
      <c r="G77" s="21">
        <v>450000</v>
      </c>
      <c r="H77" s="21"/>
      <c r="I77" s="23"/>
      <c r="J77" s="63">
        <f>G77</f>
        <v>450000</v>
      </c>
      <c r="K77" s="77"/>
      <c r="L77" s="77"/>
      <c r="M77" s="77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58" s="18" customFormat="1" ht="15.75" customHeight="1">
      <c r="A78" s="60" t="s">
        <v>49</v>
      </c>
      <c r="B78" s="17" t="s">
        <v>232</v>
      </c>
      <c r="C78" s="26">
        <f t="shared" si="6"/>
        <v>400</v>
      </c>
      <c r="D78" s="23"/>
      <c r="E78" s="23"/>
      <c r="F78" s="21">
        <f>290+110</f>
        <v>400</v>
      </c>
      <c r="G78" s="118">
        <f>H78</f>
        <v>0</v>
      </c>
      <c r="H78" s="23"/>
      <c r="I78" s="23"/>
      <c r="J78" s="63">
        <f t="shared" si="5"/>
        <v>400</v>
      </c>
      <c r="K78" s="77"/>
      <c r="L78" s="77"/>
      <c r="M78" s="77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1:58" s="18" customFormat="1" ht="12.75" customHeight="1" hidden="1">
      <c r="A79" s="55" t="s">
        <v>249</v>
      </c>
      <c r="B79" s="17" t="s">
        <v>265</v>
      </c>
      <c r="C79" s="26"/>
      <c r="D79" s="23"/>
      <c r="E79" s="23"/>
      <c r="F79" s="21"/>
      <c r="G79" s="21">
        <f>H79</f>
        <v>0</v>
      </c>
      <c r="H79" s="21">
        <f>10000-10000</f>
        <v>0</v>
      </c>
      <c r="I79" s="23"/>
      <c r="J79" s="63">
        <f t="shared" si="5"/>
        <v>0</v>
      </c>
      <c r="K79" s="77"/>
      <c r="L79" s="77"/>
      <c r="M79" s="77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1:58" s="18" customFormat="1" ht="25.5" customHeight="1">
      <c r="A80" s="55" t="s">
        <v>32</v>
      </c>
      <c r="B80" s="17" t="s">
        <v>336</v>
      </c>
      <c r="C80" s="26">
        <f t="shared" si="6"/>
        <v>54.800000000000004</v>
      </c>
      <c r="D80" s="21"/>
      <c r="E80" s="21"/>
      <c r="F80" s="21">
        <f>45.1+9.6+0.1</f>
        <v>54.800000000000004</v>
      </c>
      <c r="G80" s="21">
        <f>83.5+37.4</f>
        <v>120.9</v>
      </c>
      <c r="H80" s="23"/>
      <c r="I80" s="23"/>
      <c r="J80" s="63">
        <f>C80+G80</f>
        <v>175.70000000000002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12" ht="23.25" customHeight="1">
      <c r="A81" s="55"/>
      <c r="B81" s="49" t="s">
        <v>507</v>
      </c>
      <c r="C81" s="41">
        <f>D81+E81+F81</f>
        <v>173931.30000000002</v>
      </c>
      <c r="D81" s="41">
        <f>D85+D87+D88+D82+D83+D86</f>
        <v>35318.3</v>
      </c>
      <c r="E81" s="41">
        <f>E85+E87+E88+E82+E83+E86</f>
        <v>5958.799999999999</v>
      </c>
      <c r="F81" s="41">
        <f>F85+F87+F88+F82+F83+F86+F89</f>
        <v>132654.2</v>
      </c>
      <c r="G81" s="41">
        <f>G85+G87+G88+G82+G83+G84</f>
        <v>2751.5</v>
      </c>
      <c r="H81" s="41">
        <f>H85+H87+H88+H82+H83</f>
        <v>0</v>
      </c>
      <c r="I81" s="41" t="e">
        <f>I85+I87+I88+#REF!+I82+I83+#REF!+#REF!</f>
        <v>#REF!</v>
      </c>
      <c r="J81" s="76">
        <f t="shared" si="5"/>
        <v>176682.80000000002</v>
      </c>
      <c r="K81" s="37"/>
      <c r="L81" s="37"/>
    </row>
    <row r="82" spans="1:58" ht="12.75">
      <c r="A82" s="55" t="s">
        <v>27</v>
      </c>
      <c r="B82" s="17" t="s">
        <v>28</v>
      </c>
      <c r="C82" s="26">
        <f t="shared" si="6"/>
        <v>67597.4</v>
      </c>
      <c r="D82" s="26"/>
      <c r="E82" s="26"/>
      <c r="F82" s="26">
        <f>66280.4+400+100+470+347</f>
        <v>67597.4</v>
      </c>
      <c r="G82" s="26"/>
      <c r="H82" s="26"/>
      <c r="I82" s="21"/>
      <c r="J82" s="63">
        <f t="shared" si="5"/>
        <v>67597.4</v>
      </c>
      <c r="K82" s="78"/>
      <c r="L82" s="7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</row>
    <row r="83" spans="1:58" ht="24.75" customHeight="1">
      <c r="A83" s="55" t="s">
        <v>29</v>
      </c>
      <c r="B83" s="17" t="s">
        <v>229</v>
      </c>
      <c r="C83" s="26">
        <f t="shared" si="6"/>
        <v>27880.300000000003</v>
      </c>
      <c r="D83" s="26">
        <f>141.4+30.1</f>
        <v>171.5</v>
      </c>
      <c r="E83" s="26">
        <v>12</v>
      </c>
      <c r="F83" s="26">
        <f>28009.7+1200-100-30.1+220-83.1-1519.7</f>
        <v>27696.800000000003</v>
      </c>
      <c r="G83" s="26"/>
      <c r="H83" s="26"/>
      <c r="I83" s="21"/>
      <c r="J83" s="63">
        <f t="shared" si="5"/>
        <v>27880.300000000003</v>
      </c>
      <c r="K83" s="78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</row>
    <row r="84" spans="1:58" ht="12.75">
      <c r="A84" s="60" t="s">
        <v>223</v>
      </c>
      <c r="B84" s="17" t="s">
        <v>224</v>
      </c>
      <c r="C84" s="26"/>
      <c r="D84" s="26"/>
      <c r="E84" s="26"/>
      <c r="F84" s="26"/>
      <c r="G84" s="26">
        <v>197.8</v>
      </c>
      <c r="H84" s="26"/>
      <c r="I84" s="26"/>
      <c r="J84" s="56">
        <f t="shared" si="5"/>
        <v>197.8</v>
      </c>
      <c r="K84" s="7"/>
      <c r="L84" s="18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 ht="38.25" customHeight="1">
      <c r="A85" s="55" t="s">
        <v>230</v>
      </c>
      <c r="B85" s="36" t="s">
        <v>231</v>
      </c>
      <c r="C85" s="26">
        <f aca="true" t="shared" si="7" ref="C85:C101">D85+E85+F85</f>
        <v>24097.300000000003</v>
      </c>
      <c r="D85" s="21">
        <v>11052.5</v>
      </c>
      <c r="E85" s="21">
        <v>2398.2</v>
      </c>
      <c r="F85" s="21">
        <f>9891.6+100+200+145+310</f>
        <v>10646.6</v>
      </c>
      <c r="G85" s="21">
        <v>1518.2</v>
      </c>
      <c r="H85" s="21"/>
      <c r="I85" s="21"/>
      <c r="J85" s="63">
        <f t="shared" si="5"/>
        <v>25615.500000000004</v>
      </c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</row>
    <row r="86" spans="1:58" ht="12.75">
      <c r="A86" s="55" t="s">
        <v>49</v>
      </c>
      <c r="B86" s="36" t="s">
        <v>232</v>
      </c>
      <c r="C86" s="26">
        <f t="shared" si="7"/>
        <v>1704.6</v>
      </c>
      <c r="D86" s="21">
        <v>340.8</v>
      </c>
      <c r="E86" s="21">
        <v>4.5</v>
      </c>
      <c r="F86" s="21">
        <v>1359.3</v>
      </c>
      <c r="G86" s="21"/>
      <c r="H86" s="21"/>
      <c r="I86" s="21"/>
      <c r="J86" s="63">
        <f t="shared" si="5"/>
        <v>1704.6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</row>
    <row r="87" spans="1:58" ht="41.25" customHeight="1">
      <c r="A87" s="60" t="s">
        <v>169</v>
      </c>
      <c r="B87" s="79" t="s">
        <v>491</v>
      </c>
      <c r="C87" s="26">
        <f t="shared" si="7"/>
        <v>48191.7</v>
      </c>
      <c r="D87" s="21">
        <v>23753.5</v>
      </c>
      <c r="E87" s="21">
        <v>3544.1</v>
      </c>
      <c r="F87" s="21">
        <f>20285.4+608.7</f>
        <v>20894.100000000002</v>
      </c>
      <c r="G87" s="21">
        <v>1035.5</v>
      </c>
      <c r="H87" s="21"/>
      <c r="I87" s="21"/>
      <c r="J87" s="63">
        <f t="shared" si="5"/>
        <v>49227.2</v>
      </c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</row>
    <row r="88" spans="1:58" ht="15" customHeight="1">
      <c r="A88" s="55" t="s">
        <v>139</v>
      </c>
      <c r="B88" s="17" t="s">
        <v>182</v>
      </c>
      <c r="C88" s="26">
        <f t="shared" si="7"/>
        <v>1677.4</v>
      </c>
      <c r="D88" s="21"/>
      <c r="E88" s="21"/>
      <c r="F88" s="21">
        <f>1423.4+254</f>
        <v>1677.4</v>
      </c>
      <c r="G88" s="21"/>
      <c r="H88" s="21"/>
      <c r="I88" s="21"/>
      <c r="J88" s="63">
        <f t="shared" si="5"/>
        <v>1677.4</v>
      </c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</row>
    <row r="89" spans="1:58" ht="24.75" customHeight="1">
      <c r="A89" s="55" t="s">
        <v>32</v>
      </c>
      <c r="B89" s="17" t="s">
        <v>336</v>
      </c>
      <c r="C89" s="26">
        <f t="shared" si="7"/>
        <v>2782.6</v>
      </c>
      <c r="D89" s="21"/>
      <c r="E89" s="21"/>
      <c r="F89" s="21">
        <f>90+2692.6</f>
        <v>2782.6</v>
      </c>
      <c r="G89" s="21"/>
      <c r="H89" s="21"/>
      <c r="I89" s="21"/>
      <c r="J89" s="63">
        <f t="shared" si="5"/>
        <v>2782.6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</row>
    <row r="90" spans="1:58" s="18" customFormat="1" ht="25.5">
      <c r="A90" s="54"/>
      <c r="B90" s="49" t="s">
        <v>281</v>
      </c>
      <c r="C90" s="41">
        <f t="shared" si="7"/>
        <v>10170.5</v>
      </c>
      <c r="D90" s="41">
        <f>D93</f>
        <v>0</v>
      </c>
      <c r="E90" s="41">
        <f>E93</f>
        <v>0</v>
      </c>
      <c r="F90" s="41">
        <f>F93+F91+F92+F94</f>
        <v>10170.5</v>
      </c>
      <c r="G90" s="23"/>
      <c r="H90" s="23"/>
      <c r="I90" s="23"/>
      <c r="J90" s="76">
        <f t="shared" si="5"/>
        <v>10170.5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1:58" s="18" customFormat="1" ht="12.75">
      <c r="A91" s="60" t="s">
        <v>252</v>
      </c>
      <c r="B91" s="214" t="s">
        <v>253</v>
      </c>
      <c r="C91" s="26">
        <f t="shared" si="7"/>
        <v>1047.5</v>
      </c>
      <c r="D91" s="41"/>
      <c r="E91" s="41"/>
      <c r="F91" s="26">
        <v>1047.5</v>
      </c>
      <c r="G91" s="23"/>
      <c r="H91" s="23"/>
      <c r="I91" s="23"/>
      <c r="J91" s="63">
        <f t="shared" si="5"/>
        <v>1047.5</v>
      </c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1:58" s="18" customFormat="1" ht="12.75">
      <c r="A92" s="60" t="s">
        <v>273</v>
      </c>
      <c r="B92" s="214" t="s">
        <v>274</v>
      </c>
      <c r="C92" s="26">
        <f t="shared" si="7"/>
        <v>4850.5</v>
      </c>
      <c r="D92" s="41"/>
      <c r="E92" s="41"/>
      <c r="F92" s="26">
        <f>4848-2762.5+2755+50-40</f>
        <v>4850.5</v>
      </c>
      <c r="G92" s="23"/>
      <c r="H92" s="23"/>
      <c r="I92" s="23"/>
      <c r="J92" s="63">
        <f t="shared" si="5"/>
        <v>4850.5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1:58" ht="15.75" customHeight="1">
      <c r="A93" s="60" t="s">
        <v>140</v>
      </c>
      <c r="B93" s="17" t="s">
        <v>184</v>
      </c>
      <c r="C93" s="26">
        <f t="shared" si="7"/>
        <v>1573.4</v>
      </c>
      <c r="D93" s="21"/>
      <c r="E93" s="21"/>
      <c r="F93" s="21">
        <f>1276.9+83.1+213.4</f>
        <v>1573.4</v>
      </c>
      <c r="G93" s="21"/>
      <c r="H93" s="21"/>
      <c r="I93" s="21"/>
      <c r="J93" s="63">
        <f t="shared" si="5"/>
        <v>1573.4</v>
      </c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</row>
    <row r="94" spans="1:58" ht="24.75" customHeight="1">
      <c r="A94" s="60" t="s">
        <v>52</v>
      </c>
      <c r="B94" s="20" t="s">
        <v>189</v>
      </c>
      <c r="C94" s="26">
        <f t="shared" si="7"/>
        <v>2699.1</v>
      </c>
      <c r="D94" s="21"/>
      <c r="E94" s="21"/>
      <c r="F94" s="21">
        <f>150+2762.5-213.4</f>
        <v>2699.1</v>
      </c>
      <c r="G94" s="21"/>
      <c r="H94" s="21"/>
      <c r="I94" s="21"/>
      <c r="J94" s="63">
        <f t="shared" si="5"/>
        <v>2699.1</v>
      </c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</row>
    <row r="95" spans="1:58" s="18" customFormat="1" ht="25.5">
      <c r="A95" s="59"/>
      <c r="B95" s="49" t="s">
        <v>168</v>
      </c>
      <c r="C95" s="41">
        <f t="shared" si="7"/>
        <v>66453.7</v>
      </c>
      <c r="D95" s="41">
        <f>D96+D97+D98</f>
        <v>15429</v>
      </c>
      <c r="E95" s="41">
        <f>E96+E97+E98</f>
        <v>1918.1</v>
      </c>
      <c r="F95" s="41">
        <f>F96+F97+F98</f>
        <v>49106.6</v>
      </c>
      <c r="G95" s="41">
        <f>G96+G97+G98</f>
        <v>49.2</v>
      </c>
      <c r="H95" s="41">
        <f>H96+H97+H98</f>
        <v>0</v>
      </c>
      <c r="I95" s="41" t="e">
        <f>I96+I97+I98+#REF!</f>
        <v>#REF!</v>
      </c>
      <c r="J95" s="76">
        <f t="shared" si="5"/>
        <v>66502.9</v>
      </c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1:58" ht="48.75" customHeight="1">
      <c r="A96" s="55" t="s">
        <v>137</v>
      </c>
      <c r="B96" s="36" t="s">
        <v>203</v>
      </c>
      <c r="C96" s="26">
        <f t="shared" si="7"/>
        <v>47420.399999999994</v>
      </c>
      <c r="D96" s="21">
        <v>9767.4</v>
      </c>
      <c r="E96" s="21">
        <v>484.9</v>
      </c>
      <c r="F96" s="21">
        <f>35467.1+250+1000-847.1+1298.1</f>
        <v>37168.1</v>
      </c>
      <c r="G96" s="21">
        <v>29.2</v>
      </c>
      <c r="H96" s="21"/>
      <c r="I96" s="21"/>
      <c r="J96" s="63">
        <f t="shared" si="5"/>
        <v>47449.59999999999</v>
      </c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</row>
    <row r="97" spans="1:58" ht="18.75" customHeight="1">
      <c r="A97" s="55" t="s">
        <v>141</v>
      </c>
      <c r="B97" s="79" t="s">
        <v>50</v>
      </c>
      <c r="C97" s="26">
        <f t="shared" si="7"/>
        <v>16690.6</v>
      </c>
      <c r="D97" s="21">
        <v>4780.3</v>
      </c>
      <c r="E97" s="21">
        <v>1292.2</v>
      </c>
      <c r="F97" s="21">
        <f>10415.4+202.7</f>
        <v>10618.1</v>
      </c>
      <c r="G97" s="21"/>
      <c r="H97" s="21"/>
      <c r="I97" s="21"/>
      <c r="J97" s="63">
        <f t="shared" si="5"/>
        <v>16690.6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</row>
    <row r="98" spans="1:58" ht="26.25" customHeight="1">
      <c r="A98" s="55" t="s">
        <v>51</v>
      </c>
      <c r="B98" s="61" t="s">
        <v>69</v>
      </c>
      <c r="C98" s="26">
        <f t="shared" si="7"/>
        <v>2342.7</v>
      </c>
      <c r="D98" s="21">
        <v>881.3</v>
      </c>
      <c r="E98" s="21">
        <v>141</v>
      </c>
      <c r="F98" s="21">
        <v>1320.4</v>
      </c>
      <c r="G98" s="21">
        <v>20</v>
      </c>
      <c r="H98" s="21"/>
      <c r="I98" s="21"/>
      <c r="J98" s="63">
        <f t="shared" si="5"/>
        <v>2362.7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</row>
    <row r="99" spans="1:58" ht="24" customHeight="1">
      <c r="A99" s="55"/>
      <c r="B99" s="81" t="s">
        <v>196</v>
      </c>
      <c r="C99" s="41">
        <f>D99+E99+F99</f>
        <v>8010</v>
      </c>
      <c r="D99" s="21"/>
      <c r="E99" s="21"/>
      <c r="F99" s="23">
        <f>F102+F109+F104+F101+F100</f>
        <v>8010</v>
      </c>
      <c r="G99" s="23">
        <f>G102+G108+G109+G107+G106+G105</f>
        <v>248923.5</v>
      </c>
      <c r="H99" s="23">
        <f>H108+H102+H108+H106+H105</f>
        <v>96954.7</v>
      </c>
      <c r="I99" s="23" t="e">
        <f>I102+#REF!+#REF!+#REF!+#REF!+#REF!+#REF!+#REF!</f>
        <v>#REF!</v>
      </c>
      <c r="J99" s="76">
        <f>C99+G99</f>
        <v>256933.5</v>
      </c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</row>
    <row r="100" spans="1:58" ht="51.75" customHeight="1" hidden="1">
      <c r="A100" s="317" t="s">
        <v>396</v>
      </c>
      <c r="B100" s="36" t="s">
        <v>397</v>
      </c>
      <c r="C100" s="26">
        <f>D100+E100+F100</f>
        <v>0</v>
      </c>
      <c r="D100" s="21"/>
      <c r="E100" s="21"/>
      <c r="F100" s="21">
        <f>18000-18000</f>
        <v>0</v>
      </c>
      <c r="G100" s="23"/>
      <c r="H100" s="23"/>
      <c r="I100" s="23"/>
      <c r="J100" s="63">
        <f>G100+C100</f>
        <v>0</v>
      </c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</row>
    <row r="101" spans="1:58" ht="38.25" customHeight="1" hidden="1">
      <c r="A101" s="317" t="s">
        <v>360</v>
      </c>
      <c r="B101" s="36" t="s">
        <v>356</v>
      </c>
      <c r="C101" s="26">
        <f t="shared" si="7"/>
        <v>0</v>
      </c>
      <c r="D101" s="21"/>
      <c r="E101" s="21"/>
      <c r="F101" s="21"/>
      <c r="G101" s="23"/>
      <c r="H101" s="23"/>
      <c r="I101" s="23"/>
      <c r="J101" s="63">
        <f aca="true" t="shared" si="8" ref="J101:J125">G101+C101</f>
        <v>0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</row>
    <row r="102" spans="1:58" ht="12.75" customHeight="1">
      <c r="A102" s="400" t="s">
        <v>249</v>
      </c>
      <c r="B102" s="17" t="s">
        <v>453</v>
      </c>
      <c r="C102" s="26">
        <f>D102+E102+F102</f>
        <v>0</v>
      </c>
      <c r="D102" s="118"/>
      <c r="E102" s="118"/>
      <c r="F102" s="21"/>
      <c r="G102" s="21">
        <f>H102</f>
        <v>95204.7</v>
      </c>
      <c r="H102" s="21">
        <f>84454.7+6300-1500+1000+1950+3000</f>
        <v>95204.7</v>
      </c>
      <c r="I102" s="21"/>
      <c r="J102" s="63">
        <f t="shared" si="8"/>
        <v>95204.7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</row>
    <row r="103" spans="1:58" ht="51">
      <c r="A103" s="401"/>
      <c r="B103" s="36" t="s">
        <v>397</v>
      </c>
      <c r="C103" s="26"/>
      <c r="D103" s="118"/>
      <c r="E103" s="118"/>
      <c r="F103" s="21"/>
      <c r="G103" s="21">
        <v>6300</v>
      </c>
      <c r="H103" s="21">
        <v>6300</v>
      </c>
      <c r="I103" s="21"/>
      <c r="J103" s="63">
        <f t="shared" si="8"/>
        <v>6300</v>
      </c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</row>
    <row r="104" spans="1:58" ht="38.25">
      <c r="A104" s="55" t="s">
        <v>347</v>
      </c>
      <c r="B104" s="61" t="s">
        <v>372</v>
      </c>
      <c r="C104" s="26">
        <f>D104+E104+F104</f>
        <v>8010</v>
      </c>
      <c r="D104" s="118"/>
      <c r="E104" s="118"/>
      <c r="F104" s="21">
        <f>8010-8010+8010</f>
        <v>8010</v>
      </c>
      <c r="G104" s="21"/>
      <c r="H104" s="21"/>
      <c r="I104" s="21"/>
      <c r="J104" s="63">
        <f t="shared" si="8"/>
        <v>8010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</row>
    <row r="105" spans="1:12" s="18" customFormat="1" ht="25.5">
      <c r="A105" s="343" t="s">
        <v>451</v>
      </c>
      <c r="B105" s="36" t="s">
        <v>452</v>
      </c>
      <c r="C105" s="26"/>
      <c r="D105" s="41"/>
      <c r="E105" s="41"/>
      <c r="F105" s="26"/>
      <c r="G105" s="26">
        <f>H105</f>
        <v>200</v>
      </c>
      <c r="H105" s="26">
        <v>200</v>
      </c>
      <c r="I105" s="41"/>
      <c r="J105" s="26">
        <f>C105+G105</f>
        <v>200</v>
      </c>
      <c r="K105" s="24"/>
      <c r="L105" s="24"/>
    </row>
    <row r="106" spans="1:58" ht="38.25">
      <c r="A106" s="343" t="s">
        <v>418</v>
      </c>
      <c r="B106" s="36" t="s">
        <v>419</v>
      </c>
      <c r="C106" s="26"/>
      <c r="D106" s="41"/>
      <c r="E106" s="41"/>
      <c r="F106" s="26"/>
      <c r="G106" s="26">
        <f>H106</f>
        <v>1550</v>
      </c>
      <c r="H106" s="26">
        <f>1500+2000-1950</f>
        <v>1550</v>
      </c>
      <c r="I106" s="41"/>
      <c r="J106" s="26">
        <f>C106+G106</f>
        <v>1550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</row>
    <row r="107" spans="1:58" ht="25.5" customHeight="1">
      <c r="A107" s="55" t="s">
        <v>32</v>
      </c>
      <c r="B107" s="17" t="s">
        <v>336</v>
      </c>
      <c r="C107" s="26"/>
      <c r="D107" s="118"/>
      <c r="E107" s="118"/>
      <c r="F107" s="21"/>
      <c r="G107" s="21">
        <f>21586.8+16162</f>
        <v>37748.8</v>
      </c>
      <c r="H107" s="21"/>
      <c r="I107" s="21"/>
      <c r="J107" s="63">
        <f t="shared" si="8"/>
        <v>37748.8</v>
      </c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</row>
    <row r="108" spans="1:58" ht="53.25" customHeight="1">
      <c r="A108" s="55" t="s">
        <v>216</v>
      </c>
      <c r="B108" s="20" t="s">
        <v>191</v>
      </c>
      <c r="C108" s="26"/>
      <c r="D108" s="21"/>
      <c r="E108" s="21"/>
      <c r="F108" s="21"/>
      <c r="G108" s="21">
        <f>4000+103977+6243</f>
        <v>114220</v>
      </c>
      <c r="H108" s="21"/>
      <c r="I108" s="21"/>
      <c r="J108" s="63">
        <f t="shared" si="8"/>
        <v>114220</v>
      </c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</row>
    <row r="109" spans="1:11" s="18" customFormat="1" ht="27" customHeight="1" hidden="1">
      <c r="A109" s="210" t="s">
        <v>244</v>
      </c>
      <c r="B109" s="20" t="s">
        <v>343</v>
      </c>
      <c r="C109" s="26">
        <f>D109+E109+F109</f>
        <v>0</v>
      </c>
      <c r="D109" s="26"/>
      <c r="E109" s="26"/>
      <c r="F109" s="26"/>
      <c r="G109" s="26">
        <f>11355.2+1592.3+543+182.9+3053.4-1592.3-15134.5</f>
        <v>0</v>
      </c>
      <c r="H109" s="26"/>
      <c r="I109" s="26"/>
      <c r="J109" s="63">
        <f t="shared" si="8"/>
        <v>0</v>
      </c>
      <c r="K109" s="19"/>
    </row>
    <row r="110" spans="1:58" ht="25.5">
      <c r="A110" s="55"/>
      <c r="B110" s="81" t="s">
        <v>349</v>
      </c>
      <c r="C110" s="41">
        <f>D110+E110+F110</f>
        <v>2362.1</v>
      </c>
      <c r="D110" s="23"/>
      <c r="E110" s="23"/>
      <c r="F110" s="23">
        <f>F111</f>
        <v>2362.1</v>
      </c>
      <c r="G110" s="23"/>
      <c r="H110" s="23">
        <f>G110</f>
        <v>0</v>
      </c>
      <c r="I110" s="23" t="e">
        <f>#REF!</f>
        <v>#REF!</v>
      </c>
      <c r="J110" s="76">
        <f>C110+G110</f>
        <v>2362.1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</row>
    <row r="111" spans="1:58" ht="18.75" customHeight="1">
      <c r="A111" s="60" t="s">
        <v>245</v>
      </c>
      <c r="B111" s="266" t="s">
        <v>284</v>
      </c>
      <c r="C111" s="26">
        <f>D111+E111+F111</f>
        <v>2362.1</v>
      </c>
      <c r="D111" s="118"/>
      <c r="E111" s="118"/>
      <c r="F111" s="21">
        <f>2000+362.1</f>
        <v>2362.1</v>
      </c>
      <c r="G111" s="21"/>
      <c r="H111" s="21"/>
      <c r="I111" s="21"/>
      <c r="J111" s="63">
        <f t="shared" si="8"/>
        <v>2362.1</v>
      </c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</row>
    <row r="112" spans="1:58" s="18" customFormat="1" ht="30" customHeight="1">
      <c r="A112" s="54"/>
      <c r="B112" s="50" t="s">
        <v>282</v>
      </c>
      <c r="C112" s="41">
        <f>D112+E112+F112</f>
        <v>4127.5</v>
      </c>
      <c r="D112" s="117">
        <f>D114</f>
        <v>0</v>
      </c>
      <c r="E112" s="117">
        <f>E114</f>
        <v>0</v>
      </c>
      <c r="F112" s="41">
        <f>F114+F115+F113</f>
        <v>4127.5</v>
      </c>
      <c r="G112" s="23"/>
      <c r="H112" s="23"/>
      <c r="I112" s="23"/>
      <c r="J112" s="76">
        <f>C112+G112</f>
        <v>4127.5</v>
      </c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s="18" customFormat="1" ht="51" customHeight="1">
      <c r="A113" s="55" t="s">
        <v>345</v>
      </c>
      <c r="B113" s="17" t="s">
        <v>384</v>
      </c>
      <c r="C113" s="26">
        <f aca="true" t="shared" si="9" ref="C113:C129">D113+E113+F113</f>
        <v>662.5</v>
      </c>
      <c r="D113" s="117"/>
      <c r="E113" s="117"/>
      <c r="F113" s="26">
        <v>662.5</v>
      </c>
      <c r="G113" s="23"/>
      <c r="H113" s="23"/>
      <c r="I113" s="23"/>
      <c r="J113" s="63">
        <f t="shared" si="8"/>
        <v>662.5</v>
      </c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1:58" ht="29.25" customHeight="1">
      <c r="A114" s="55" t="s">
        <v>246</v>
      </c>
      <c r="B114" s="211" t="s">
        <v>31</v>
      </c>
      <c r="C114" s="26">
        <f t="shared" si="9"/>
        <v>3097</v>
      </c>
      <c r="D114" s="118"/>
      <c r="E114" s="118"/>
      <c r="F114" s="21">
        <f>2759.5+1000-662.5</f>
        <v>3097</v>
      </c>
      <c r="G114" s="21"/>
      <c r="H114" s="21"/>
      <c r="I114" s="21"/>
      <c r="J114" s="63">
        <f t="shared" si="8"/>
        <v>3097</v>
      </c>
      <c r="K114" s="78"/>
      <c r="L114" s="120"/>
      <c r="M114" s="78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</row>
    <row r="115" spans="1:58" ht="24.75" customHeight="1">
      <c r="A115" s="55" t="s">
        <v>32</v>
      </c>
      <c r="B115" s="17" t="s">
        <v>336</v>
      </c>
      <c r="C115" s="26">
        <f t="shared" si="9"/>
        <v>368</v>
      </c>
      <c r="D115" s="118"/>
      <c r="E115" s="118"/>
      <c r="F115" s="21">
        <v>368</v>
      </c>
      <c r="G115" s="21"/>
      <c r="H115" s="21"/>
      <c r="I115" s="21"/>
      <c r="J115" s="63">
        <f t="shared" si="8"/>
        <v>368</v>
      </c>
      <c r="K115" s="78"/>
      <c r="L115" s="120"/>
      <c r="M115" s="78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</row>
    <row r="116" spans="1:58" ht="20.25" customHeight="1">
      <c r="A116" s="55"/>
      <c r="B116" s="50" t="s">
        <v>283</v>
      </c>
      <c r="C116" s="41">
        <f t="shared" si="9"/>
        <v>1492.6</v>
      </c>
      <c r="D116" s="118"/>
      <c r="E116" s="118"/>
      <c r="F116" s="23">
        <f>F117</f>
        <v>1492.6</v>
      </c>
      <c r="G116" s="21"/>
      <c r="H116" s="21"/>
      <c r="I116" s="21"/>
      <c r="J116" s="76">
        <f>C116+G116</f>
        <v>1492.6</v>
      </c>
      <c r="K116" s="78"/>
      <c r="L116" s="120"/>
      <c r="M116" s="78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</row>
    <row r="117" spans="1:58" ht="18" customHeight="1">
      <c r="A117" s="60" t="s">
        <v>279</v>
      </c>
      <c r="B117" s="17" t="s">
        <v>280</v>
      </c>
      <c r="C117" s="26">
        <f t="shared" si="9"/>
        <v>1492.6</v>
      </c>
      <c r="D117" s="118"/>
      <c r="E117" s="118"/>
      <c r="F117" s="21">
        <v>1492.6</v>
      </c>
      <c r="G117" s="21"/>
      <c r="H117" s="21"/>
      <c r="I117" s="21"/>
      <c r="J117" s="63">
        <f t="shared" si="8"/>
        <v>1492.6</v>
      </c>
      <c r="K117" s="78"/>
      <c r="L117" s="120"/>
      <c r="M117" s="78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</row>
    <row r="118" spans="1:58" ht="24.75" customHeight="1">
      <c r="A118" s="60"/>
      <c r="B118" s="50" t="s">
        <v>285</v>
      </c>
      <c r="C118" s="41">
        <f>D118+E118+F118</f>
        <v>3668</v>
      </c>
      <c r="D118" s="118"/>
      <c r="E118" s="118"/>
      <c r="F118" s="23">
        <f>F119+F120</f>
        <v>3668</v>
      </c>
      <c r="G118" s="21"/>
      <c r="H118" s="21"/>
      <c r="I118" s="21"/>
      <c r="J118" s="76">
        <f>C118+G118</f>
        <v>3668</v>
      </c>
      <c r="K118" s="78"/>
      <c r="L118" s="120"/>
      <c r="M118" s="78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</row>
    <row r="119" spans="1:58" ht="27" customHeight="1">
      <c r="A119" s="60" t="s">
        <v>52</v>
      </c>
      <c r="B119" s="20" t="s">
        <v>189</v>
      </c>
      <c r="C119" s="26">
        <f t="shared" si="9"/>
        <v>3500</v>
      </c>
      <c r="D119" s="118"/>
      <c r="E119" s="118"/>
      <c r="F119" s="21">
        <f>2500+1000</f>
        <v>3500</v>
      </c>
      <c r="G119" s="21"/>
      <c r="H119" s="21"/>
      <c r="I119" s="21"/>
      <c r="J119" s="63">
        <f>G119+C119</f>
        <v>3500</v>
      </c>
      <c r="K119" s="78"/>
      <c r="L119" s="120"/>
      <c r="M119" s="78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</row>
    <row r="120" spans="1:58" ht="12.75">
      <c r="A120" s="60" t="s">
        <v>53</v>
      </c>
      <c r="B120" s="17" t="s">
        <v>194</v>
      </c>
      <c r="C120" s="26">
        <f t="shared" si="9"/>
        <v>168</v>
      </c>
      <c r="D120" s="118"/>
      <c r="E120" s="118"/>
      <c r="F120" s="21">
        <f>250-82</f>
        <v>168</v>
      </c>
      <c r="G120" s="21"/>
      <c r="H120" s="21"/>
      <c r="I120" s="21"/>
      <c r="J120" s="63">
        <f t="shared" si="8"/>
        <v>168</v>
      </c>
      <c r="K120" s="78"/>
      <c r="L120" s="120"/>
      <c r="M120" s="78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</row>
    <row r="121" spans="1:58" ht="27" customHeight="1">
      <c r="A121" s="60"/>
      <c r="B121" s="50" t="s">
        <v>286</v>
      </c>
      <c r="C121" s="41">
        <f t="shared" si="9"/>
        <v>775</v>
      </c>
      <c r="D121" s="118"/>
      <c r="E121" s="118"/>
      <c r="F121" s="23">
        <f>F122</f>
        <v>775</v>
      </c>
      <c r="G121" s="21"/>
      <c r="H121" s="21"/>
      <c r="I121" s="21"/>
      <c r="J121" s="76">
        <f>C121+G121</f>
        <v>775</v>
      </c>
      <c r="K121" s="78"/>
      <c r="L121" s="120"/>
      <c r="M121" s="78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</row>
    <row r="122" spans="1:58" ht="27" customHeight="1">
      <c r="A122" s="60" t="s">
        <v>277</v>
      </c>
      <c r="B122" s="61" t="s">
        <v>278</v>
      </c>
      <c r="C122" s="26">
        <f t="shared" si="9"/>
        <v>775</v>
      </c>
      <c r="D122" s="118"/>
      <c r="E122" s="118"/>
      <c r="F122" s="21">
        <f>710+65</f>
        <v>775</v>
      </c>
      <c r="G122" s="21"/>
      <c r="H122" s="21"/>
      <c r="I122" s="21"/>
      <c r="J122" s="63">
        <f t="shared" si="8"/>
        <v>775</v>
      </c>
      <c r="K122" s="78"/>
      <c r="L122" s="120"/>
      <c r="M122" s="78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</row>
    <row r="123" spans="1:58" ht="20.25" customHeight="1">
      <c r="A123" s="55"/>
      <c r="B123" s="49" t="s">
        <v>262</v>
      </c>
      <c r="C123" s="41">
        <f>D123+E123+F123</f>
        <v>799.8</v>
      </c>
      <c r="D123" s="118"/>
      <c r="E123" s="118"/>
      <c r="F123" s="23">
        <f>F125+F124</f>
        <v>799.8</v>
      </c>
      <c r="G123" s="21"/>
      <c r="H123" s="21"/>
      <c r="I123" s="21"/>
      <c r="J123" s="76">
        <f>C123+G123</f>
        <v>799.8</v>
      </c>
      <c r="K123" s="78"/>
      <c r="L123" s="120"/>
      <c r="M123" s="78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</row>
    <row r="124" spans="1:58" ht="38.25">
      <c r="A124" s="55" t="s">
        <v>425</v>
      </c>
      <c r="B124" s="36" t="s">
        <v>426</v>
      </c>
      <c r="C124" s="26">
        <f t="shared" si="9"/>
        <v>500</v>
      </c>
      <c r="D124" s="118"/>
      <c r="E124" s="118"/>
      <c r="F124" s="21">
        <v>500</v>
      </c>
      <c r="G124" s="21"/>
      <c r="H124" s="21"/>
      <c r="I124" s="21"/>
      <c r="J124" s="63">
        <f t="shared" si="8"/>
        <v>500</v>
      </c>
      <c r="K124" s="78"/>
      <c r="L124" s="120"/>
      <c r="M124" s="78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</row>
    <row r="125" spans="1:58" ht="27" customHeight="1">
      <c r="A125" s="55" t="s">
        <v>32</v>
      </c>
      <c r="B125" s="17" t="s">
        <v>336</v>
      </c>
      <c r="C125" s="26">
        <f t="shared" si="9"/>
        <v>299.8</v>
      </c>
      <c r="D125" s="118"/>
      <c r="E125" s="118"/>
      <c r="F125" s="21">
        <v>299.8</v>
      </c>
      <c r="G125" s="21"/>
      <c r="H125" s="21"/>
      <c r="I125" s="21"/>
      <c r="J125" s="63">
        <f t="shared" si="8"/>
        <v>299.8</v>
      </c>
      <c r="K125" s="78"/>
      <c r="L125" s="120"/>
      <c r="M125" s="78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</row>
    <row r="126" spans="1:58" s="18" customFormat="1" ht="16.5" customHeight="1">
      <c r="A126" s="54"/>
      <c r="B126" s="49" t="s">
        <v>144</v>
      </c>
      <c r="C126" s="41">
        <f t="shared" si="9"/>
        <v>2514546.5280000004</v>
      </c>
      <c r="D126" s="41">
        <f>D127+D128+D129+D130+D132+D133+D134+D135+D136+D137+D138+D139+D140+D141+D142+D143+D147+D148+D149+D150+D152</f>
        <v>0</v>
      </c>
      <c r="E126" s="41">
        <f>E127+E128+E129+E130+E132+E133+E134+E135+E136+E137+E138+E139+E140+E141+E142+E143+E147+E148+E149+E150+E152</f>
        <v>0</v>
      </c>
      <c r="F126" s="41">
        <f>F127+F128+F129+F130+F132+F133+F134+F135+F136+F137+F138+F139+F140+F141+F142+F143+F147+F148+F149+F150+F152+F151</f>
        <v>2514546.5280000004</v>
      </c>
      <c r="G126" s="41">
        <f>G127+G128+G129+G130+G132+G133+G134+G135+G136+G137+G138+G139+G140+G141+G142+G143+G147+G148+G149+G150+G152</f>
        <v>500982.8</v>
      </c>
      <c r="H126" s="41">
        <f>H127+H128+H129+H130+H132+H133+H134+H135+H136+H137+H138+H139+H140+H141+H142+H143+H147+H148+H149+H150+H152</f>
        <v>0</v>
      </c>
      <c r="I126" s="41" t="e">
        <f>I127+#REF!+#REF!+#REF!+#REF!+#REF!+I129+I132+I133+I135+I137+I138+I139+I140+I141+#REF!+I150+#REF!+#REF!+#REF!+#REF!+I149+#REF!+#REF!+I142+I147+I143</f>
        <v>#REF!</v>
      </c>
      <c r="J126" s="76">
        <f>C126+G126</f>
        <v>3015529.328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  <row r="127" spans="1:58" ht="27" customHeight="1">
      <c r="A127" s="55" t="s">
        <v>142</v>
      </c>
      <c r="B127" s="17" t="s">
        <v>188</v>
      </c>
      <c r="C127" s="26"/>
      <c r="D127" s="21"/>
      <c r="E127" s="21"/>
      <c r="F127" s="21"/>
      <c r="G127" s="21">
        <v>44099</v>
      </c>
      <c r="H127" s="21"/>
      <c r="I127" s="21"/>
      <c r="J127" s="63">
        <f aca="true" t="shared" si="10" ref="J127:J138">C127+G127</f>
        <v>44099</v>
      </c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</row>
    <row r="128" spans="1:58" ht="27" customHeight="1" hidden="1">
      <c r="A128" s="60" t="s">
        <v>52</v>
      </c>
      <c r="B128" s="20" t="s">
        <v>189</v>
      </c>
      <c r="C128" s="26">
        <f t="shared" si="9"/>
        <v>1.9895196601282805E-13</v>
      </c>
      <c r="D128" s="21"/>
      <c r="E128" s="21"/>
      <c r="F128" s="21">
        <f>5000-1000-27.6-124.1-200-1947.8-1573.672-126.828</f>
        <v>1.9895196601282805E-13</v>
      </c>
      <c r="G128" s="21"/>
      <c r="H128" s="21"/>
      <c r="I128" s="21"/>
      <c r="J128" s="63">
        <f t="shared" si="10"/>
        <v>1.9895196601282805E-13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</row>
    <row r="129" spans="1:58" ht="51" hidden="1">
      <c r="A129" s="55" t="s">
        <v>358</v>
      </c>
      <c r="B129" s="20" t="s">
        <v>191</v>
      </c>
      <c r="C129" s="124">
        <f t="shared" si="9"/>
        <v>0</v>
      </c>
      <c r="D129" s="21"/>
      <c r="E129" s="21"/>
      <c r="F129" s="21"/>
      <c r="G129" s="21">
        <f>146319.4-26284.4-120035</f>
        <v>0</v>
      </c>
      <c r="H129" s="21"/>
      <c r="I129" s="21"/>
      <c r="J129" s="63">
        <f t="shared" si="10"/>
        <v>0</v>
      </c>
      <c r="K129" s="27"/>
      <c r="L129" s="78" t="e">
        <f>#REF!-#REF!</f>
        <v>#REF!</v>
      </c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</row>
    <row r="130" spans="1:58" ht="51">
      <c r="A130" s="400" t="s">
        <v>359</v>
      </c>
      <c r="B130" s="20" t="s">
        <v>423</v>
      </c>
      <c r="C130" s="124"/>
      <c r="D130" s="124"/>
      <c r="E130" s="124"/>
      <c r="F130" s="124"/>
      <c r="G130" s="26">
        <f>26284.4+3500-118.8</f>
        <v>29665.600000000002</v>
      </c>
      <c r="H130" s="26"/>
      <c r="I130" s="26"/>
      <c r="J130" s="26">
        <f t="shared" si="10"/>
        <v>29665.600000000002</v>
      </c>
      <c r="K130" s="143">
        <f>J130-J131</f>
        <v>3500</v>
      </c>
      <c r="L130" s="2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 ht="38.25">
      <c r="A131" s="401"/>
      <c r="B131" s="20" t="s">
        <v>341</v>
      </c>
      <c r="C131" s="124"/>
      <c r="D131" s="124"/>
      <c r="E131" s="124"/>
      <c r="F131" s="124"/>
      <c r="G131" s="26">
        <f>26284.4-118.8</f>
        <v>26165.600000000002</v>
      </c>
      <c r="H131" s="26"/>
      <c r="I131" s="26"/>
      <c r="J131" s="26">
        <f t="shared" si="10"/>
        <v>26165.600000000002</v>
      </c>
      <c r="K131" s="7"/>
      <c r="L131" s="2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 ht="17.25" customHeight="1">
      <c r="A132" s="60" t="s">
        <v>234</v>
      </c>
      <c r="B132" s="36" t="s">
        <v>193</v>
      </c>
      <c r="C132" s="26">
        <f aca="true" t="shared" si="11" ref="C132:C152">D132+E132+F132</f>
        <v>6504.7</v>
      </c>
      <c r="D132" s="21"/>
      <c r="E132" s="21"/>
      <c r="F132" s="21">
        <f>10000-400-3095.3</f>
        <v>6504.7</v>
      </c>
      <c r="G132" s="21"/>
      <c r="H132" s="21"/>
      <c r="I132" s="21"/>
      <c r="J132" s="63">
        <f t="shared" si="10"/>
        <v>6504.7</v>
      </c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</row>
    <row r="133" spans="1:58" ht="24.75" customHeight="1">
      <c r="A133" s="60" t="s">
        <v>143</v>
      </c>
      <c r="B133" s="20" t="s">
        <v>198</v>
      </c>
      <c r="C133" s="26">
        <f t="shared" si="11"/>
        <v>77429.3</v>
      </c>
      <c r="D133" s="21"/>
      <c r="E133" s="21"/>
      <c r="F133" s="26">
        <f>75454.7+3912.3-11727.7+10000+6300-3250-10000+2000+540+1200+3000</f>
        <v>77429.3</v>
      </c>
      <c r="G133" s="21"/>
      <c r="H133" s="21"/>
      <c r="I133" s="21"/>
      <c r="J133" s="63">
        <f t="shared" si="10"/>
        <v>77429.3</v>
      </c>
      <c r="K133" s="78"/>
      <c r="L133" s="78"/>
      <c r="M133" s="78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</row>
    <row r="134" spans="1:58" ht="24.75" customHeight="1">
      <c r="A134" s="55" t="s">
        <v>32</v>
      </c>
      <c r="B134" s="17" t="s">
        <v>336</v>
      </c>
      <c r="C134" s="26"/>
      <c r="D134" s="21"/>
      <c r="E134" s="21"/>
      <c r="F134" s="26"/>
      <c r="G134" s="21">
        <v>565.9</v>
      </c>
      <c r="H134" s="21"/>
      <c r="I134" s="21"/>
      <c r="J134" s="63">
        <f t="shared" si="10"/>
        <v>565.9</v>
      </c>
      <c r="K134" s="78"/>
      <c r="L134" s="78"/>
      <c r="M134" s="78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</row>
    <row r="135" spans="1:12" s="18" customFormat="1" ht="25.5">
      <c r="A135" s="60" t="s">
        <v>225</v>
      </c>
      <c r="B135" s="42" t="s">
        <v>492</v>
      </c>
      <c r="C135" s="26">
        <f t="shared" si="11"/>
        <v>60401.899999999994</v>
      </c>
      <c r="D135" s="41"/>
      <c r="E135" s="41"/>
      <c r="F135" s="26">
        <f>46445.6-30931.7+1947.8-1298.1+26940.2+4298.1+13000</f>
        <v>60401.899999999994</v>
      </c>
      <c r="G135" s="41"/>
      <c r="H135" s="41"/>
      <c r="I135" s="41"/>
      <c r="J135" s="56">
        <f t="shared" si="10"/>
        <v>60401.899999999994</v>
      </c>
      <c r="K135" s="24"/>
      <c r="L135" s="25"/>
    </row>
    <row r="136" spans="1:12" s="18" customFormat="1" ht="12.75">
      <c r="A136" s="60" t="s">
        <v>412</v>
      </c>
      <c r="B136" s="17" t="s">
        <v>413</v>
      </c>
      <c r="C136" s="26">
        <f t="shared" si="11"/>
        <v>603.6</v>
      </c>
      <c r="D136" s="41"/>
      <c r="E136" s="41"/>
      <c r="F136" s="26">
        <v>603.6</v>
      </c>
      <c r="G136" s="41"/>
      <c r="H136" s="41"/>
      <c r="I136" s="41"/>
      <c r="J136" s="56">
        <f t="shared" si="10"/>
        <v>603.6</v>
      </c>
      <c r="K136" s="24"/>
      <c r="L136" s="25"/>
    </row>
    <row r="137" spans="1:58" ht="49.5" customHeight="1">
      <c r="A137" s="60" t="s">
        <v>57</v>
      </c>
      <c r="B137" s="64" t="s">
        <v>428</v>
      </c>
      <c r="C137" s="26">
        <f t="shared" si="11"/>
        <v>18557.2</v>
      </c>
      <c r="D137" s="21"/>
      <c r="E137" s="21"/>
      <c r="F137" s="26">
        <v>18557.2</v>
      </c>
      <c r="G137" s="21"/>
      <c r="H137" s="21"/>
      <c r="I137" s="21"/>
      <c r="J137" s="63">
        <f t="shared" si="10"/>
        <v>18557.2</v>
      </c>
      <c r="K137" s="78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</row>
    <row r="138" spans="1:58" ht="57" customHeight="1">
      <c r="A138" s="60" t="s">
        <v>508</v>
      </c>
      <c r="B138" s="64" t="s">
        <v>506</v>
      </c>
      <c r="C138" s="26">
        <f t="shared" si="11"/>
        <v>1827876.8</v>
      </c>
      <c r="D138" s="41"/>
      <c r="E138" s="41"/>
      <c r="F138" s="26">
        <f>2017876.8-150000-14000-26000</f>
        <v>1827876.8</v>
      </c>
      <c r="G138" s="41"/>
      <c r="H138" s="41"/>
      <c r="I138" s="41"/>
      <c r="J138" s="56">
        <f t="shared" si="10"/>
        <v>1827876.8</v>
      </c>
      <c r="K138" s="7"/>
      <c r="L138" s="18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12" s="18" customFormat="1" ht="75.75" customHeight="1">
      <c r="A139" s="60" t="s">
        <v>34</v>
      </c>
      <c r="B139" s="267" t="s">
        <v>367</v>
      </c>
      <c r="C139" s="26">
        <f t="shared" si="11"/>
        <v>190838.2</v>
      </c>
      <c r="D139" s="80"/>
      <c r="E139" s="80"/>
      <c r="F139" s="131">
        <f>282034.7-4947.8-71726.7-14522</f>
        <v>190838.2</v>
      </c>
      <c r="G139" s="43">
        <f>435642.5-30265.7</f>
        <v>405376.8</v>
      </c>
      <c r="H139" s="149"/>
      <c r="I139" s="149"/>
      <c r="J139" s="150">
        <f>G139+C139</f>
        <v>596215</v>
      </c>
      <c r="K139" s="24"/>
      <c r="L139" s="25"/>
    </row>
    <row r="140" spans="1:12" s="18" customFormat="1" ht="126.75" customHeight="1">
      <c r="A140" s="60" t="s">
        <v>35</v>
      </c>
      <c r="B140" s="267" t="s">
        <v>493</v>
      </c>
      <c r="C140" s="26">
        <f t="shared" si="11"/>
        <v>179074.7</v>
      </c>
      <c r="D140" s="26"/>
      <c r="E140" s="26"/>
      <c r="F140" s="43">
        <v>179074.7</v>
      </c>
      <c r="G140" s="26"/>
      <c r="H140" s="26"/>
      <c r="I140" s="26"/>
      <c r="J140" s="63">
        <f>G140+C140</f>
        <v>179074.7</v>
      </c>
      <c r="K140" s="24"/>
      <c r="L140" s="25"/>
    </row>
    <row r="141" spans="1:12" s="18" customFormat="1" ht="51" customHeight="1">
      <c r="A141" s="109" t="s">
        <v>36</v>
      </c>
      <c r="B141" s="61" t="s">
        <v>496</v>
      </c>
      <c r="C141" s="26">
        <f t="shared" si="11"/>
        <v>53299.59999999999</v>
      </c>
      <c r="D141" s="108"/>
      <c r="E141" s="108"/>
      <c r="F141" s="26">
        <f>124139.9-69633.3-1207</f>
        <v>53299.59999999999</v>
      </c>
      <c r="G141" s="108"/>
      <c r="H141" s="108"/>
      <c r="I141" s="108"/>
      <c r="J141" s="111">
        <f aca="true" t="shared" si="12" ref="J141:J152">C141+G141</f>
        <v>53299.59999999999</v>
      </c>
      <c r="K141" s="24"/>
      <c r="L141" s="25"/>
    </row>
    <row r="142" spans="1:11" s="18" customFormat="1" ht="101.25" customHeight="1">
      <c r="A142" s="109" t="s">
        <v>261</v>
      </c>
      <c r="B142" s="208" t="s">
        <v>387</v>
      </c>
      <c r="C142" s="26"/>
      <c r="D142" s="26"/>
      <c r="E142" s="26"/>
      <c r="F142" s="108"/>
      <c r="G142" s="43">
        <f>2628.83+6423.27</f>
        <v>9052.1</v>
      </c>
      <c r="H142" s="43"/>
      <c r="I142" s="26"/>
      <c r="J142" s="56">
        <f t="shared" si="12"/>
        <v>9052.1</v>
      </c>
      <c r="K142" s="19"/>
    </row>
    <row r="143" spans="1:11" s="18" customFormat="1" ht="41.25" customHeight="1">
      <c r="A143" s="402" t="s">
        <v>33</v>
      </c>
      <c r="B143" s="61" t="s">
        <v>68</v>
      </c>
      <c r="C143" s="26">
        <f>F143</f>
        <v>2328.8</v>
      </c>
      <c r="D143" s="26"/>
      <c r="E143" s="26"/>
      <c r="F143" s="26">
        <f>F144+F145</f>
        <v>2328.8</v>
      </c>
      <c r="G143" s="26">
        <f>G144+G146</f>
        <v>10223.4</v>
      </c>
      <c r="H143" s="26"/>
      <c r="I143" s="26"/>
      <c r="J143" s="56">
        <f t="shared" si="12"/>
        <v>12552.2</v>
      </c>
      <c r="K143" s="19"/>
    </row>
    <row r="144" spans="1:11" s="18" customFormat="1" ht="38.25">
      <c r="A144" s="380"/>
      <c r="B144" s="61" t="s">
        <v>456</v>
      </c>
      <c r="C144" s="26">
        <f>D144+E144+F144</f>
        <v>381</v>
      </c>
      <c r="D144" s="26"/>
      <c r="E144" s="26"/>
      <c r="F144" s="26">
        <v>381</v>
      </c>
      <c r="G144" s="26">
        <v>2908.4</v>
      </c>
      <c r="H144" s="26"/>
      <c r="I144" s="26"/>
      <c r="J144" s="63">
        <f>C144+G144</f>
        <v>3289.4</v>
      </c>
      <c r="K144" s="19"/>
    </row>
    <row r="145" spans="1:11" s="18" customFormat="1" ht="38.25">
      <c r="A145" s="380"/>
      <c r="B145" s="61" t="s">
        <v>467</v>
      </c>
      <c r="C145" s="26">
        <f>D145+E145+F145</f>
        <v>1947.8</v>
      </c>
      <c r="D145" s="26"/>
      <c r="E145" s="26"/>
      <c r="F145" s="161">
        <v>1947.8</v>
      </c>
      <c r="G145" s="26"/>
      <c r="H145" s="26"/>
      <c r="I145" s="26"/>
      <c r="J145" s="63">
        <f>C145+G145</f>
        <v>1947.8</v>
      </c>
      <c r="K145" s="19"/>
    </row>
    <row r="146" spans="1:11" s="18" customFormat="1" ht="38.25">
      <c r="A146" s="403"/>
      <c r="B146" s="61" t="s">
        <v>455</v>
      </c>
      <c r="C146" s="26"/>
      <c r="D146" s="26"/>
      <c r="E146" s="26"/>
      <c r="F146" s="26"/>
      <c r="G146" s="26">
        <f>1000+12558-6243</f>
        <v>7315</v>
      </c>
      <c r="H146" s="26"/>
      <c r="I146" s="26"/>
      <c r="J146" s="56">
        <f t="shared" si="12"/>
        <v>7315</v>
      </c>
      <c r="K146" s="19"/>
    </row>
    <row r="147" spans="1:11" s="18" customFormat="1" ht="81.75" customHeight="1">
      <c r="A147" s="60" t="s">
        <v>226</v>
      </c>
      <c r="B147" s="61" t="s">
        <v>498</v>
      </c>
      <c r="C147" s="26">
        <f t="shared" si="11"/>
        <v>13516.9</v>
      </c>
      <c r="D147" s="26"/>
      <c r="E147" s="26"/>
      <c r="F147" s="161">
        <f>9365.7+1048.9+2500+602.3</f>
        <v>13516.9</v>
      </c>
      <c r="G147" s="26"/>
      <c r="H147" s="26"/>
      <c r="I147" s="26"/>
      <c r="J147" s="56">
        <f t="shared" si="12"/>
        <v>13516.9</v>
      </c>
      <c r="K147" s="19"/>
    </row>
    <row r="148" spans="1:12" s="18" customFormat="1" ht="38.25">
      <c r="A148" s="60" t="s">
        <v>399</v>
      </c>
      <c r="B148" s="309" t="s">
        <v>400</v>
      </c>
      <c r="C148" s="26"/>
      <c r="D148" s="26"/>
      <c r="E148" s="26"/>
      <c r="F148" s="43"/>
      <c r="G148" s="26">
        <v>2000</v>
      </c>
      <c r="H148" s="26"/>
      <c r="I148" s="26"/>
      <c r="J148" s="26">
        <f t="shared" si="12"/>
        <v>2000</v>
      </c>
      <c r="K148" s="24"/>
      <c r="L148" s="24"/>
    </row>
    <row r="149" spans="1:12" s="18" customFormat="1" ht="15.75" customHeight="1">
      <c r="A149" s="60" t="s">
        <v>37</v>
      </c>
      <c r="B149" s="61" t="s">
        <v>14</v>
      </c>
      <c r="C149" s="26">
        <f t="shared" si="11"/>
        <v>21831.627999999997</v>
      </c>
      <c r="D149" s="26"/>
      <c r="E149" s="26"/>
      <c r="F149" s="161">
        <f>9678.8+1.8+2000+1000+4000+2800+3000+300+200+120-3900-271.272-193+3095.3</f>
        <v>21831.627999999997</v>
      </c>
      <c r="G149" s="26"/>
      <c r="H149" s="26"/>
      <c r="I149" s="26"/>
      <c r="J149" s="63">
        <f t="shared" si="12"/>
        <v>21831.627999999997</v>
      </c>
      <c r="K149" s="24"/>
      <c r="L149" s="157"/>
    </row>
    <row r="150" spans="1:11" s="18" customFormat="1" ht="51.75" customHeight="1">
      <c r="A150" s="60" t="s">
        <v>173</v>
      </c>
      <c r="B150" s="61" t="s">
        <v>369</v>
      </c>
      <c r="C150" s="26">
        <f t="shared" si="11"/>
        <v>1625</v>
      </c>
      <c r="D150" s="26"/>
      <c r="E150" s="26"/>
      <c r="F150" s="161">
        <f>1625-1452.5+1452.5</f>
        <v>1625</v>
      </c>
      <c r="G150" s="26"/>
      <c r="H150" s="26"/>
      <c r="I150" s="26"/>
      <c r="J150" s="63">
        <f t="shared" si="12"/>
        <v>1625</v>
      </c>
      <c r="K150" s="24"/>
    </row>
    <row r="151" spans="1:12" s="18" customFormat="1" ht="108.75" customHeight="1">
      <c r="A151" s="207" t="s">
        <v>464</v>
      </c>
      <c r="B151" s="61" t="s">
        <v>463</v>
      </c>
      <c r="C151" s="108">
        <f>D151+E151+F151</f>
        <v>70</v>
      </c>
      <c r="D151" s="108"/>
      <c r="E151" s="108"/>
      <c r="F151" s="26">
        <v>70</v>
      </c>
      <c r="G151" s="26"/>
      <c r="H151" s="108"/>
      <c r="I151" s="108"/>
      <c r="J151" s="158">
        <f t="shared" si="12"/>
        <v>70</v>
      </c>
      <c r="K151" s="24"/>
      <c r="L151" s="24"/>
    </row>
    <row r="152" spans="1:11" s="18" customFormat="1" ht="41.25" customHeight="1">
      <c r="A152" s="207" t="s">
        <v>268</v>
      </c>
      <c r="B152" s="61" t="s">
        <v>494</v>
      </c>
      <c r="C152" s="26">
        <f t="shared" si="11"/>
        <v>60588.2</v>
      </c>
      <c r="D152" s="161"/>
      <c r="E152" s="161"/>
      <c r="F152" s="161">
        <f>530.3+246.4+59811.5</f>
        <v>60588.2</v>
      </c>
      <c r="G152" s="161"/>
      <c r="H152" s="161"/>
      <c r="I152" s="161"/>
      <c r="J152" s="63">
        <f t="shared" si="12"/>
        <v>60588.2</v>
      </c>
      <c r="K152" s="24"/>
    </row>
    <row r="153" spans="1:58" s="18" customFormat="1" ht="21" customHeight="1" thickBot="1">
      <c r="A153" s="392" t="s">
        <v>199</v>
      </c>
      <c r="B153" s="393"/>
      <c r="C153" s="82">
        <f>C15+C34+C40+C54+C64+C81+C95+C99+C126+C90+C110+C112+C73+C123+C116+C118+C121+C32</f>
        <v>4721888.699999998</v>
      </c>
      <c r="D153" s="82">
        <f>D15+D34+D40+D54+D64+D81+D95+D99+D126+D90+D110+D112+D73</f>
        <v>744131.2570000001</v>
      </c>
      <c r="E153" s="82">
        <f>E15+E34+E40+E54+E64+E81+E95+E99+E126+E90+E110+E112+E73</f>
        <v>173868.7</v>
      </c>
      <c r="F153" s="82">
        <f>F15+F34+F40+F54+F64+F81+F95+F99+F126+F90+F110+F112+F73+F123+F116+F118+F121+F32</f>
        <v>3803888.7430000002</v>
      </c>
      <c r="G153" s="82">
        <f>G15+G34+G40+G54+G64+G81+G95+G99+G126+G90+G110+G112+G73</f>
        <v>1324755.2000000002</v>
      </c>
      <c r="H153" s="82">
        <f>H15+H34+H40+H54+H64+H81+H95+H99+H126+H90+H110+H112+H73</f>
        <v>102626</v>
      </c>
      <c r="I153" s="82" t="e">
        <f>I15+I34+I40+I54+I64+I81+I95+I99+I126+I90+#REF!+I110+#REF!+I112+#REF!+I73</f>
        <v>#REF!</v>
      </c>
      <c r="J153" s="82">
        <f>J15+J34+J40+J54+J64+J81+J95+J99+J126+J90+J110+J112+J73+J123+J121+J118+J116+J32</f>
        <v>6046643.899999999</v>
      </c>
      <c r="K153" s="77"/>
      <c r="L153" s="77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</row>
    <row r="154" spans="1:58" s="7" customFormat="1" ht="12.75">
      <c r="A154" s="83"/>
      <c r="B154" s="84"/>
      <c r="C154" s="132">
        <f>'№2'!C113</f>
        <v>4721888.7</v>
      </c>
      <c r="D154" s="132">
        <f>'№2'!D113</f>
        <v>744131.257</v>
      </c>
      <c r="E154" s="132">
        <f>'№2'!E113</f>
        <v>173868.69999999998</v>
      </c>
      <c r="F154" s="132">
        <f>'№2'!F113</f>
        <v>3803888.7430000002</v>
      </c>
      <c r="G154" s="132">
        <f>'№2'!G113</f>
        <v>1324755.2</v>
      </c>
      <c r="H154" s="132">
        <f>'№2'!H113</f>
        <v>102626</v>
      </c>
      <c r="I154" s="132" t="e">
        <f>'№2'!I113</f>
        <v>#REF!</v>
      </c>
      <c r="J154" s="132">
        <f>'№2'!J113</f>
        <v>6046643.899999999</v>
      </c>
      <c r="K154" s="162" t="s">
        <v>233</v>
      </c>
      <c r="L154" s="122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</row>
    <row r="155" spans="3:12" ht="12.75">
      <c r="C155" s="157">
        <f aca="true" t="shared" si="13" ref="C155:J155">C154-C153</f>
        <v>0</v>
      </c>
      <c r="D155" s="157">
        <f t="shared" si="13"/>
        <v>0</v>
      </c>
      <c r="E155" s="157">
        <f t="shared" si="13"/>
        <v>0</v>
      </c>
      <c r="F155" s="157">
        <f t="shared" si="13"/>
        <v>0</v>
      </c>
      <c r="G155" s="157">
        <f t="shared" si="13"/>
        <v>0</v>
      </c>
      <c r="H155" s="157">
        <f t="shared" si="13"/>
        <v>0</v>
      </c>
      <c r="I155" s="157" t="e">
        <f t="shared" si="13"/>
        <v>#REF!</v>
      </c>
      <c r="J155" s="157">
        <f t="shared" si="13"/>
        <v>0</v>
      </c>
      <c r="K155" s="163"/>
      <c r="L155" s="123"/>
    </row>
    <row r="156" spans="3:11" ht="12.75">
      <c r="C156" s="28"/>
      <c r="D156" s="28"/>
      <c r="E156" s="28"/>
      <c r="F156" s="28"/>
      <c r="G156" s="28"/>
      <c r="H156" s="28"/>
      <c r="I156" s="28"/>
      <c r="J156" s="28"/>
      <c r="K156" s="3"/>
    </row>
    <row r="157" spans="2:10" ht="12.75">
      <c r="B157" s="116"/>
      <c r="C157" s="28"/>
      <c r="D157" s="28"/>
      <c r="E157" s="28"/>
      <c r="F157" s="28"/>
      <c r="G157" s="28"/>
      <c r="H157" s="28"/>
      <c r="I157" s="28"/>
      <c r="J157" s="28"/>
    </row>
    <row r="158" spans="3:10" ht="15">
      <c r="C158" s="213"/>
      <c r="D158" s="212"/>
      <c r="E158" s="212"/>
      <c r="F158" s="212"/>
      <c r="G158" s="212"/>
      <c r="H158" s="212"/>
      <c r="I158" s="212"/>
      <c r="J158" s="212"/>
    </row>
    <row r="159" spans="3:10" ht="12.75">
      <c r="C159" s="39"/>
      <c r="D159" s="39"/>
      <c r="E159" s="39"/>
      <c r="F159" s="39"/>
      <c r="G159" s="39"/>
      <c r="H159" s="39"/>
      <c r="I159" s="39"/>
      <c r="J159" s="39"/>
    </row>
    <row r="160" spans="3:10" ht="12.75">
      <c r="C160" s="37"/>
      <c r="D160" s="37"/>
      <c r="E160" s="37"/>
      <c r="F160" s="37"/>
      <c r="G160" s="37"/>
      <c r="H160" s="37"/>
      <c r="I160" s="37"/>
      <c r="J160" s="37"/>
    </row>
    <row r="161" spans="2:11" ht="12.75">
      <c r="B161" s="116"/>
      <c r="C161" s="74"/>
      <c r="D161" s="74"/>
      <c r="E161" s="74"/>
      <c r="F161" s="74"/>
      <c r="G161" s="74"/>
      <c r="H161" s="74"/>
      <c r="I161" s="74"/>
      <c r="J161" s="74"/>
      <c r="K161" s="78"/>
    </row>
    <row r="162" spans="3:11" ht="12.75">
      <c r="C162" s="78"/>
      <c r="D162" s="28"/>
      <c r="E162" s="28"/>
      <c r="F162" s="28"/>
      <c r="G162" s="28"/>
      <c r="H162" s="28"/>
      <c r="I162" s="28"/>
      <c r="J162" s="28"/>
      <c r="K162" s="78"/>
    </row>
    <row r="163" spans="3:10" ht="12.75">
      <c r="C163" s="37"/>
      <c r="D163" s="37"/>
      <c r="E163" s="37"/>
      <c r="F163" s="37"/>
      <c r="G163" s="37"/>
      <c r="H163" s="37"/>
      <c r="I163" s="37"/>
      <c r="J163" s="37"/>
    </row>
    <row r="164" ht="12.75">
      <c r="C164" s="31"/>
    </row>
    <row r="165" spans="2:10" ht="12.75">
      <c r="B165" s="116"/>
      <c r="C165" s="37"/>
      <c r="F165" s="29"/>
      <c r="J165" s="28"/>
    </row>
    <row r="166" ht="12.75">
      <c r="C166" s="37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  <row r="226" ht="12.75">
      <c r="C226" s="31"/>
    </row>
    <row r="227" ht="12.75">
      <c r="C227" s="31"/>
    </row>
    <row r="228" ht="12.75">
      <c r="C228" s="31"/>
    </row>
    <row r="229" ht="12.75">
      <c r="C229" s="31"/>
    </row>
    <row r="230" ht="12.75">
      <c r="C230" s="31"/>
    </row>
    <row r="231" ht="12.75">
      <c r="C231" s="31"/>
    </row>
    <row r="232" ht="12.75">
      <c r="C232" s="31"/>
    </row>
    <row r="233" ht="12.75">
      <c r="C233" s="31"/>
    </row>
    <row r="234" ht="12.75">
      <c r="C234" s="31"/>
    </row>
    <row r="235" ht="12.75">
      <c r="C235" s="31"/>
    </row>
    <row r="236" ht="12.75">
      <c r="C236" s="31"/>
    </row>
    <row r="237" ht="12.75">
      <c r="C237" s="31"/>
    </row>
    <row r="238" ht="12.75">
      <c r="C238" s="31"/>
    </row>
    <row r="239" ht="12.75">
      <c r="C239" s="31"/>
    </row>
    <row r="240" ht="12.75">
      <c r="C240" s="31"/>
    </row>
    <row r="241" ht="12.75">
      <c r="C241" s="31"/>
    </row>
    <row r="242" ht="12.75">
      <c r="C242" s="31"/>
    </row>
    <row r="243" ht="12.75">
      <c r="C243" s="31"/>
    </row>
    <row r="244" ht="12.75">
      <c r="C244" s="31"/>
    </row>
    <row r="245" ht="12.75">
      <c r="C245" s="31"/>
    </row>
    <row r="246" ht="12.75">
      <c r="C246" s="31"/>
    </row>
    <row r="247" ht="12.75">
      <c r="C247" s="31"/>
    </row>
    <row r="248" ht="12.75">
      <c r="C248" s="31"/>
    </row>
    <row r="249" ht="12.75">
      <c r="C249" s="31"/>
    </row>
    <row r="250" ht="12.75">
      <c r="C250" s="31"/>
    </row>
    <row r="251" ht="12.75">
      <c r="C251" s="31"/>
    </row>
    <row r="252" ht="12.75">
      <c r="C252" s="31"/>
    </row>
    <row r="253" ht="12.75">
      <c r="C253" s="31"/>
    </row>
    <row r="254" ht="12.75">
      <c r="C254" s="31"/>
    </row>
    <row r="255" ht="12.75">
      <c r="C255" s="31"/>
    </row>
    <row r="256" ht="12.75">
      <c r="C256" s="31"/>
    </row>
    <row r="257" ht="12.75">
      <c r="C257" s="31"/>
    </row>
    <row r="258" ht="12.75">
      <c r="C258" s="31"/>
    </row>
    <row r="259" ht="12.75">
      <c r="C259" s="31"/>
    </row>
    <row r="260" ht="12.75">
      <c r="C260" s="31"/>
    </row>
    <row r="261" ht="12.75">
      <c r="C261" s="31"/>
    </row>
    <row r="262" ht="12.75">
      <c r="C262" s="31"/>
    </row>
    <row r="263" ht="12.75">
      <c r="C263" s="31"/>
    </row>
    <row r="264" ht="12.75">
      <c r="C264" s="31"/>
    </row>
    <row r="265" ht="12.75">
      <c r="C265" s="31"/>
    </row>
    <row r="266" ht="12.75">
      <c r="C266" s="31"/>
    </row>
    <row r="267" ht="12.75">
      <c r="C267" s="31"/>
    </row>
    <row r="268" ht="12.75">
      <c r="C268" s="31"/>
    </row>
    <row r="269" ht="12.75">
      <c r="C269" s="31"/>
    </row>
    <row r="270" ht="12.75">
      <c r="C270" s="31"/>
    </row>
    <row r="271" ht="12.75">
      <c r="C271" s="31"/>
    </row>
    <row r="272" ht="12.75">
      <c r="C272" s="31"/>
    </row>
    <row r="273" ht="12.75">
      <c r="C273" s="31"/>
    </row>
    <row r="274" ht="12.75">
      <c r="C274" s="31"/>
    </row>
    <row r="275" ht="12.75">
      <c r="C275" s="31"/>
    </row>
    <row r="276" ht="12.75">
      <c r="C276" s="31"/>
    </row>
    <row r="277" ht="12.75">
      <c r="C277" s="31"/>
    </row>
    <row r="278" ht="12.75">
      <c r="C278" s="31"/>
    </row>
    <row r="279" ht="12.75">
      <c r="C279" s="31"/>
    </row>
    <row r="280" ht="12.75">
      <c r="C280" s="31"/>
    </row>
  </sheetData>
  <autoFilter ref="A14:BF155"/>
  <mergeCells count="19">
    <mergeCell ref="A130:A131"/>
    <mergeCell ref="A27:A31"/>
    <mergeCell ref="A102:A103"/>
    <mergeCell ref="A143:A146"/>
    <mergeCell ref="G12:G13"/>
    <mergeCell ref="D12:F12"/>
    <mergeCell ref="A11:A13"/>
    <mergeCell ref="B11:B13"/>
    <mergeCell ref="C11:F11"/>
    <mergeCell ref="A153:B153"/>
    <mergeCell ref="F1:J1"/>
    <mergeCell ref="G11:I11"/>
    <mergeCell ref="A9:J9"/>
    <mergeCell ref="G10:J10"/>
    <mergeCell ref="A8:J8"/>
    <mergeCell ref="I12:I13"/>
    <mergeCell ref="J11:J13"/>
    <mergeCell ref="C12:C13"/>
    <mergeCell ref="A44:A46"/>
  </mergeCells>
  <printOptions/>
  <pageMargins left="1.1811023622047245" right="0.3937007874015748" top="0.7874015748031497" bottom="0.7874015748031497" header="0" footer="0"/>
  <pageSetup fitToHeight="4" fitToWidth="1" horizontalDpi="600" verticalDpi="600" orientation="portrait" paperSize="9" scale="57" r:id="rId1"/>
  <rowBreaks count="3" manualBreakCount="3">
    <brk id="62" max="9" man="1"/>
    <brk id="106" max="9" man="1"/>
    <brk id="1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185"/>
  <sheetViews>
    <sheetView view="pageBreakPreview" zoomScale="50" zoomScaleNormal="75" zoomScaleSheetLayoutView="50" workbookViewId="0" topLeftCell="A1">
      <selection activeCell="L3" sqref="L3"/>
    </sheetView>
  </sheetViews>
  <sheetFormatPr defaultColWidth="9.00390625" defaultRowHeight="12.75"/>
  <cols>
    <col min="1" max="1" width="28.00390625" style="3" customWidth="1"/>
    <col min="2" max="2" width="19.00390625" style="3" customWidth="1"/>
    <col min="3" max="3" width="21.375" style="3" customWidth="1"/>
    <col min="4" max="4" width="19.75390625" style="3" customWidth="1"/>
    <col min="5" max="5" width="35.25390625" style="3" customWidth="1"/>
    <col min="6" max="6" width="18.375" style="3" customWidth="1"/>
    <col min="7" max="7" width="14.875" style="3" customWidth="1"/>
    <col min="8" max="8" width="13.625" style="3" customWidth="1"/>
    <col min="9" max="9" width="12.75390625" style="3" customWidth="1"/>
    <col min="10" max="10" width="28.125" style="3" customWidth="1"/>
    <col min="11" max="11" width="27.25390625" style="3" customWidth="1"/>
    <col min="12" max="12" width="19.25390625" style="3" customWidth="1"/>
    <col min="13" max="13" width="16.125" style="3" customWidth="1"/>
    <col min="14" max="14" width="33.125" style="3" customWidth="1"/>
    <col min="15" max="16" width="17.625" style="3" customWidth="1"/>
    <col min="17" max="17" width="20.125" style="3" customWidth="1"/>
    <col min="18" max="18" width="18.125" style="3" customWidth="1"/>
    <col min="19" max="19" width="22.00390625" style="3" customWidth="1"/>
    <col min="20" max="20" width="31.375" style="3" customWidth="1"/>
    <col min="21" max="22" width="20.125" style="3" customWidth="1"/>
    <col min="23" max="23" width="29.875" style="3" customWidth="1"/>
    <col min="24" max="24" width="19.25390625" style="3" customWidth="1"/>
    <col min="25" max="25" width="14.75390625" style="166" customWidth="1"/>
    <col min="26" max="26" width="14.125" style="3" customWidth="1"/>
    <col min="27" max="27" width="7.875" style="3" customWidth="1"/>
    <col min="28" max="28" width="15.375" style="3" customWidth="1"/>
    <col min="29" max="16384" width="7.875" style="3" customWidth="1"/>
  </cols>
  <sheetData>
    <row r="1" ht="15.75">
      <c r="L1" s="215" t="s">
        <v>76</v>
      </c>
    </row>
    <row r="2" ht="15.75">
      <c r="L2" s="183" t="s">
        <v>147</v>
      </c>
    </row>
    <row r="3" ht="21.75" customHeight="1">
      <c r="L3" s="523" t="s">
        <v>61</v>
      </c>
    </row>
    <row r="4" spans="2:24" ht="42.75" customHeight="1">
      <c r="B4" s="451" t="s">
        <v>257</v>
      </c>
      <c r="C4" s="451"/>
      <c r="D4" s="451"/>
      <c r="E4" s="451"/>
      <c r="F4" s="451"/>
      <c r="G4" s="451"/>
      <c r="H4" s="451"/>
      <c r="I4" s="451"/>
      <c r="J4" s="451"/>
      <c r="K4" s="451"/>
      <c r="L4" s="167"/>
      <c r="M4" s="168"/>
      <c r="N4" s="168"/>
      <c r="O4" s="168"/>
      <c r="P4" s="168"/>
      <c r="Q4" s="168"/>
      <c r="R4" s="168"/>
      <c r="S4" s="381"/>
      <c r="T4" s="381"/>
      <c r="U4" s="381"/>
      <c r="V4" s="381"/>
      <c r="W4" s="381"/>
      <c r="X4" s="168"/>
    </row>
    <row r="5" spans="1:25" ht="12.75" customHeight="1" thickBot="1">
      <c r="A5" s="169"/>
      <c r="B5" s="169"/>
      <c r="C5" s="169"/>
      <c r="D5" s="169"/>
      <c r="E5" s="169"/>
      <c r="F5" s="169"/>
      <c r="G5" s="169"/>
      <c r="H5" s="169"/>
      <c r="I5" s="169"/>
      <c r="K5" s="170"/>
      <c r="M5" s="368" t="s">
        <v>15</v>
      </c>
      <c r="N5" s="368"/>
      <c r="O5" s="169"/>
      <c r="P5" s="169"/>
      <c r="Q5" s="169"/>
      <c r="R5" s="169"/>
      <c r="T5" s="379"/>
      <c r="U5" s="379"/>
      <c r="V5" s="379"/>
      <c r="W5" s="379"/>
      <c r="X5" s="382"/>
      <c r="Y5" s="170" t="s">
        <v>15</v>
      </c>
    </row>
    <row r="6" spans="1:25" s="218" customFormat="1" ht="21" customHeight="1" thickBot="1">
      <c r="A6" s="448" t="s">
        <v>77</v>
      </c>
      <c r="B6" s="452" t="s">
        <v>78</v>
      </c>
      <c r="C6" s="453"/>
      <c r="D6" s="453"/>
      <c r="E6" s="453"/>
      <c r="F6" s="453"/>
      <c r="G6" s="453"/>
      <c r="H6" s="453"/>
      <c r="I6" s="453"/>
      <c r="J6" s="453"/>
      <c r="K6" s="454"/>
      <c r="L6" s="454"/>
      <c r="M6" s="454"/>
      <c r="N6" s="313"/>
      <c r="O6" s="313"/>
      <c r="P6" s="313"/>
      <c r="Q6" s="313"/>
      <c r="R6" s="313"/>
      <c r="S6" s="443" t="s">
        <v>79</v>
      </c>
      <c r="T6" s="444"/>
      <c r="U6" s="444"/>
      <c r="V6" s="444"/>
      <c r="W6" s="445"/>
      <c r="X6" s="455" t="s">
        <v>503</v>
      </c>
      <c r="Y6" s="437" t="s">
        <v>80</v>
      </c>
    </row>
    <row r="7" spans="1:25" s="218" customFormat="1" ht="19.5" customHeight="1" thickBot="1">
      <c r="A7" s="449"/>
      <c r="B7" s="440" t="s">
        <v>81</v>
      </c>
      <c r="C7" s="440" t="s">
        <v>495</v>
      </c>
      <c r="D7" s="442" t="s">
        <v>82</v>
      </c>
      <c r="E7" s="440" t="s">
        <v>497</v>
      </c>
      <c r="F7" s="456" t="s">
        <v>156</v>
      </c>
      <c r="G7" s="457"/>
      <c r="H7" s="457"/>
      <c r="I7" s="457"/>
      <c r="J7" s="458"/>
      <c r="K7" s="440" t="s">
        <v>38</v>
      </c>
      <c r="L7" s="446" t="s">
        <v>266</v>
      </c>
      <c r="M7" s="440" t="s">
        <v>501</v>
      </c>
      <c r="N7" s="442" t="s">
        <v>468</v>
      </c>
      <c r="O7" s="442" t="s">
        <v>502</v>
      </c>
      <c r="P7" s="442" t="s">
        <v>469</v>
      </c>
      <c r="Q7" s="440" t="s">
        <v>416</v>
      </c>
      <c r="R7" s="442" t="s">
        <v>354</v>
      </c>
      <c r="S7" s="440" t="s">
        <v>495</v>
      </c>
      <c r="T7" s="440" t="s">
        <v>39</v>
      </c>
      <c r="U7" s="440" t="s">
        <v>401</v>
      </c>
      <c r="V7" s="440" t="s">
        <v>416</v>
      </c>
      <c r="W7" s="440" t="s">
        <v>214</v>
      </c>
      <c r="X7" s="440"/>
      <c r="Y7" s="438"/>
    </row>
    <row r="8" spans="1:25" s="218" customFormat="1" ht="81.75" customHeight="1" thickBot="1">
      <c r="A8" s="449"/>
      <c r="B8" s="440"/>
      <c r="C8" s="440"/>
      <c r="D8" s="440"/>
      <c r="E8" s="440"/>
      <c r="F8" s="442" t="s">
        <v>83</v>
      </c>
      <c r="G8" s="459" t="s">
        <v>296</v>
      </c>
      <c r="H8" s="460"/>
      <c r="I8" s="442" t="s">
        <v>84</v>
      </c>
      <c r="J8" s="442" t="s">
        <v>331</v>
      </c>
      <c r="K8" s="440"/>
      <c r="L8" s="446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38"/>
    </row>
    <row r="9" spans="1:25" s="218" customFormat="1" ht="157.5" customHeight="1" thickBot="1">
      <c r="A9" s="450"/>
      <c r="B9" s="441"/>
      <c r="C9" s="441"/>
      <c r="D9" s="441"/>
      <c r="E9" s="441"/>
      <c r="F9" s="441"/>
      <c r="G9" s="217" t="s">
        <v>297</v>
      </c>
      <c r="H9" s="217" t="s">
        <v>301</v>
      </c>
      <c r="I9" s="441"/>
      <c r="J9" s="441"/>
      <c r="K9" s="441"/>
      <c r="L9" s="447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39"/>
    </row>
    <row r="10" spans="1:27" s="171" customFormat="1" ht="15" customHeight="1">
      <c r="A10" s="172" t="s">
        <v>85</v>
      </c>
      <c r="B10" s="173">
        <v>13406.8</v>
      </c>
      <c r="C10" s="174">
        <v>1380.5</v>
      </c>
      <c r="D10" s="206">
        <v>233.7</v>
      </c>
      <c r="E10" s="206">
        <v>1825.7</v>
      </c>
      <c r="F10" s="206">
        <v>1655.7</v>
      </c>
      <c r="G10" s="206">
        <v>0</v>
      </c>
      <c r="H10" s="206">
        <v>0</v>
      </c>
      <c r="I10" s="206">
        <v>140.8</v>
      </c>
      <c r="J10" s="206">
        <v>29.2</v>
      </c>
      <c r="K10" s="176">
        <f>166.3+5</f>
        <v>171.3</v>
      </c>
      <c r="L10" s="358">
        <v>472.362</v>
      </c>
      <c r="M10" s="175"/>
      <c r="N10" s="175"/>
      <c r="O10" s="175"/>
      <c r="P10" s="175"/>
      <c r="Q10" s="378"/>
      <c r="R10" s="175"/>
      <c r="S10" s="377">
        <v>615.842</v>
      </c>
      <c r="T10" s="378">
        <v>113.5</v>
      </c>
      <c r="U10" s="378"/>
      <c r="V10" s="378"/>
      <c r="W10" s="378"/>
      <c r="X10" s="175"/>
      <c r="Y10" s="177">
        <f>X10+V10+U10+T10+S10+R10+M10+L10+K10+E10+D10+C10+B10</f>
        <v>18219.703999999998</v>
      </c>
      <c r="AA10" s="205"/>
    </row>
    <row r="11" spans="1:44" s="183" customFormat="1" ht="15.75" customHeight="1">
      <c r="A11" s="178" t="s">
        <v>86</v>
      </c>
      <c r="B11" s="173">
        <v>50375.5</v>
      </c>
      <c r="C11" s="179">
        <v>6371.5</v>
      </c>
      <c r="D11" s="180">
        <v>284.1</v>
      </c>
      <c r="E11" s="206">
        <v>5922.8</v>
      </c>
      <c r="F11" s="180">
        <v>5246.4</v>
      </c>
      <c r="G11" s="180">
        <v>0</v>
      </c>
      <c r="H11" s="180">
        <v>0</v>
      </c>
      <c r="I11" s="180">
        <v>610.2</v>
      </c>
      <c r="J11" s="180">
        <v>66.2</v>
      </c>
      <c r="K11" s="181">
        <f>288.1+10</f>
        <v>298.1</v>
      </c>
      <c r="L11" s="359">
        <v>1253.193</v>
      </c>
      <c r="M11" s="174"/>
      <c r="N11" s="174"/>
      <c r="O11" s="174"/>
      <c r="P11" s="174"/>
      <c r="Q11" s="293"/>
      <c r="R11" s="174"/>
      <c r="S11" s="174">
        <v>18256.665</v>
      </c>
      <c r="T11" s="293">
        <v>135.1</v>
      </c>
      <c r="U11" s="293"/>
      <c r="V11" s="293"/>
      <c r="W11" s="293"/>
      <c r="X11" s="174">
        <v>1738.6</v>
      </c>
      <c r="Y11" s="177">
        <f aca="true" t="shared" si="0" ref="Y11:Y54">X11+V11+U11+T11+S11+R11+M11+L11+K11+E11+D11+C11+B11</f>
        <v>84635.55799999999</v>
      </c>
      <c r="Z11" s="182"/>
      <c r="AA11" s="205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</row>
    <row r="12" spans="1:44" s="183" customFormat="1" ht="15.75" customHeight="1">
      <c r="A12" s="178" t="s">
        <v>87</v>
      </c>
      <c r="B12" s="173">
        <v>129514.6</v>
      </c>
      <c r="C12" s="174">
        <v>16530.6</v>
      </c>
      <c r="D12" s="180">
        <v>5593.2</v>
      </c>
      <c r="E12" s="206">
        <v>6854</v>
      </c>
      <c r="F12" s="180">
        <v>5704.8</v>
      </c>
      <c r="G12" s="180">
        <v>0</v>
      </c>
      <c r="H12" s="180">
        <v>0</v>
      </c>
      <c r="I12" s="180">
        <v>791.5</v>
      </c>
      <c r="J12" s="180">
        <v>357.7</v>
      </c>
      <c r="K12" s="180">
        <f>692.3+55</f>
        <v>747.3</v>
      </c>
      <c r="L12" s="359">
        <v>2490.632</v>
      </c>
      <c r="M12" s="174"/>
      <c r="N12" s="174"/>
      <c r="O12" s="174"/>
      <c r="P12" s="174"/>
      <c r="Q12" s="293"/>
      <c r="R12" s="174"/>
      <c r="S12" s="174">
        <v>42157.19</v>
      </c>
      <c r="T12" s="293">
        <v>675.3</v>
      </c>
      <c r="U12" s="293"/>
      <c r="V12" s="293"/>
      <c r="W12" s="293"/>
      <c r="X12" s="174"/>
      <c r="Y12" s="177">
        <f t="shared" si="0"/>
        <v>204562.82200000001</v>
      </c>
      <c r="Z12" s="182"/>
      <c r="AA12" s="205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</row>
    <row r="13" spans="1:44" s="183" customFormat="1" ht="15.75" customHeight="1">
      <c r="A13" s="178" t="s">
        <v>88</v>
      </c>
      <c r="B13" s="173">
        <v>19446.5</v>
      </c>
      <c r="C13" s="174">
        <v>3328.3</v>
      </c>
      <c r="D13" s="180">
        <v>570.7</v>
      </c>
      <c r="E13" s="206">
        <v>963.7</v>
      </c>
      <c r="F13" s="180">
        <v>84.9</v>
      </c>
      <c r="G13" s="180">
        <v>469.4</v>
      </c>
      <c r="H13" s="180">
        <v>235.7</v>
      </c>
      <c r="I13" s="180">
        <v>143.7</v>
      </c>
      <c r="J13" s="180">
        <v>30</v>
      </c>
      <c r="K13" s="180">
        <f>124.4+20</f>
        <v>144.4</v>
      </c>
      <c r="L13" s="359">
        <v>691.791</v>
      </c>
      <c r="M13" s="174"/>
      <c r="N13" s="174"/>
      <c r="O13" s="174"/>
      <c r="P13" s="174"/>
      <c r="Q13" s="293"/>
      <c r="R13" s="174"/>
      <c r="S13" s="174">
        <v>3570.835</v>
      </c>
      <c r="T13" s="293">
        <v>227.7</v>
      </c>
      <c r="U13" s="293"/>
      <c r="V13" s="293"/>
      <c r="W13" s="293"/>
      <c r="X13" s="174"/>
      <c r="Y13" s="177">
        <f t="shared" si="0"/>
        <v>28943.926</v>
      </c>
      <c r="Z13" s="182"/>
      <c r="AA13" s="205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</row>
    <row r="14" spans="1:44" s="183" customFormat="1" ht="15.75" customHeight="1">
      <c r="A14" s="178" t="s">
        <v>89</v>
      </c>
      <c r="B14" s="173">
        <v>33018.7</v>
      </c>
      <c r="C14" s="174">
        <v>2852.3</v>
      </c>
      <c r="D14" s="180">
        <v>1784.8</v>
      </c>
      <c r="E14" s="206">
        <v>1453.8</v>
      </c>
      <c r="F14" s="180">
        <v>1235</v>
      </c>
      <c r="G14" s="180">
        <v>0</v>
      </c>
      <c r="H14" s="180">
        <v>0</v>
      </c>
      <c r="I14" s="180">
        <v>140</v>
      </c>
      <c r="J14" s="180">
        <v>78.8</v>
      </c>
      <c r="K14" s="180">
        <f>159.3+10</f>
        <v>169.3</v>
      </c>
      <c r="L14" s="359">
        <v>1079.263</v>
      </c>
      <c r="M14" s="174"/>
      <c r="N14" s="174"/>
      <c r="O14" s="174"/>
      <c r="P14" s="174"/>
      <c r="Q14" s="293"/>
      <c r="R14" s="174"/>
      <c r="S14" s="174">
        <v>7898.41</v>
      </c>
      <c r="T14" s="293">
        <v>323.901</v>
      </c>
      <c r="U14" s="293"/>
      <c r="V14" s="293"/>
      <c r="W14" s="293"/>
      <c r="X14" s="174"/>
      <c r="Y14" s="177">
        <f t="shared" si="0"/>
        <v>48580.473999999995</v>
      </c>
      <c r="Z14" s="182"/>
      <c r="AA14" s="205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</row>
    <row r="15" spans="1:44" s="183" customFormat="1" ht="15.75" customHeight="1">
      <c r="A15" s="178" t="s">
        <v>90</v>
      </c>
      <c r="B15" s="173">
        <v>21555</v>
      </c>
      <c r="C15" s="174">
        <v>2282.2</v>
      </c>
      <c r="D15" s="180">
        <v>1307.5</v>
      </c>
      <c r="E15" s="206">
        <v>428.4</v>
      </c>
      <c r="F15" s="180">
        <v>204</v>
      </c>
      <c r="G15" s="180">
        <v>0</v>
      </c>
      <c r="H15" s="180">
        <v>0</v>
      </c>
      <c r="I15" s="180">
        <v>88.8</v>
      </c>
      <c r="J15" s="180">
        <v>135.6</v>
      </c>
      <c r="K15" s="180">
        <f>165+15</f>
        <v>180</v>
      </c>
      <c r="L15" s="359">
        <v>577.667</v>
      </c>
      <c r="M15" s="174"/>
      <c r="N15" s="174"/>
      <c r="O15" s="174"/>
      <c r="P15" s="174"/>
      <c r="Q15" s="293"/>
      <c r="R15" s="174"/>
      <c r="S15" s="174">
        <v>3574.315</v>
      </c>
      <c r="T15" s="293">
        <v>415.6</v>
      </c>
      <c r="U15" s="293"/>
      <c r="V15" s="293"/>
      <c r="W15" s="293"/>
      <c r="X15" s="174"/>
      <c r="Y15" s="177">
        <f t="shared" si="0"/>
        <v>30320.682</v>
      </c>
      <c r="Z15" s="182"/>
      <c r="AA15" s="205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</row>
    <row r="16" spans="1:44" s="183" customFormat="1" ht="15.75" customHeight="1">
      <c r="A16" s="178" t="s">
        <v>91</v>
      </c>
      <c r="B16" s="173">
        <v>26649.6</v>
      </c>
      <c r="C16" s="174">
        <v>4608.88</v>
      </c>
      <c r="D16" s="180">
        <v>1682.9</v>
      </c>
      <c r="E16" s="206">
        <v>446.7</v>
      </c>
      <c r="F16" s="180">
        <v>225.9</v>
      </c>
      <c r="G16" s="180">
        <v>0</v>
      </c>
      <c r="H16" s="180">
        <v>0</v>
      </c>
      <c r="I16" s="180">
        <v>160.9</v>
      </c>
      <c r="J16" s="180">
        <v>59.9</v>
      </c>
      <c r="K16" s="180">
        <f>182.6+10</f>
        <v>192.6</v>
      </c>
      <c r="L16" s="359">
        <v>921.78</v>
      </c>
      <c r="M16" s="174"/>
      <c r="N16" s="174"/>
      <c r="O16" s="174"/>
      <c r="P16" s="174"/>
      <c r="Q16" s="293"/>
      <c r="R16" s="174"/>
      <c r="S16" s="174">
        <v>0</v>
      </c>
      <c r="T16" s="293">
        <v>365.601</v>
      </c>
      <c r="U16" s="293"/>
      <c r="V16" s="293"/>
      <c r="W16" s="293"/>
      <c r="X16" s="174"/>
      <c r="Y16" s="177">
        <f t="shared" si="0"/>
        <v>34868.061</v>
      </c>
      <c r="Z16" s="182"/>
      <c r="AA16" s="205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</row>
    <row r="17" spans="1:44" s="183" customFormat="1" ht="15.75" customHeight="1">
      <c r="A17" s="178" t="s">
        <v>92</v>
      </c>
      <c r="B17" s="173">
        <v>10186.9</v>
      </c>
      <c r="C17" s="174">
        <v>1364.4</v>
      </c>
      <c r="D17" s="180">
        <v>29.9</v>
      </c>
      <c r="E17" s="206">
        <v>345.1</v>
      </c>
      <c r="F17" s="180">
        <v>169.6</v>
      </c>
      <c r="G17" s="180">
        <v>0</v>
      </c>
      <c r="H17" s="180">
        <v>0</v>
      </c>
      <c r="I17" s="180">
        <v>114.7</v>
      </c>
      <c r="J17" s="180">
        <v>60.8</v>
      </c>
      <c r="K17" s="180">
        <f>289.1+25</f>
        <v>314.1</v>
      </c>
      <c r="L17" s="359">
        <v>402.117</v>
      </c>
      <c r="M17" s="174"/>
      <c r="N17" s="174"/>
      <c r="O17" s="174"/>
      <c r="P17" s="174"/>
      <c r="Q17" s="293"/>
      <c r="R17" s="174"/>
      <c r="S17" s="174">
        <v>4337.97</v>
      </c>
      <c r="T17" s="293">
        <v>181.2</v>
      </c>
      <c r="U17" s="293"/>
      <c r="V17" s="293"/>
      <c r="W17" s="293"/>
      <c r="X17" s="174"/>
      <c r="Y17" s="177">
        <f t="shared" si="0"/>
        <v>17161.686999999998</v>
      </c>
      <c r="Z17" s="182"/>
      <c r="AA17" s="205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</row>
    <row r="18" spans="1:44" s="183" customFormat="1" ht="15.75" customHeight="1">
      <c r="A18" s="314" t="s">
        <v>93</v>
      </c>
      <c r="B18" s="173">
        <v>337042.6</v>
      </c>
      <c r="C18" s="174">
        <v>43490.86</v>
      </c>
      <c r="D18" s="180">
        <v>10807.3</v>
      </c>
      <c r="E18" s="206">
        <v>75184.9</v>
      </c>
      <c r="F18" s="180">
        <v>70078.6</v>
      </c>
      <c r="G18" s="180">
        <v>0</v>
      </c>
      <c r="H18" s="180">
        <v>0</v>
      </c>
      <c r="I18" s="180">
        <v>3633</v>
      </c>
      <c r="J18" s="180">
        <v>1473.3</v>
      </c>
      <c r="K18" s="181">
        <f>1600.1+20</f>
        <v>1620.1</v>
      </c>
      <c r="L18" s="359">
        <v>9095.415</v>
      </c>
      <c r="M18" s="174">
        <f>1525-1525+1525</f>
        <v>1525</v>
      </c>
      <c r="N18" s="174"/>
      <c r="O18" s="174"/>
      <c r="P18" s="174"/>
      <c r="Q18" s="293"/>
      <c r="R18" s="174"/>
      <c r="S18" s="174">
        <v>72315.364</v>
      </c>
      <c r="T18" s="293">
        <v>1122.716</v>
      </c>
      <c r="U18" s="293"/>
      <c r="V18" s="293"/>
      <c r="W18" s="293"/>
      <c r="X18" s="174"/>
      <c r="Y18" s="177">
        <f t="shared" si="0"/>
        <v>552204.2549999999</v>
      </c>
      <c r="Z18" s="182"/>
      <c r="AA18" s="205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</row>
    <row r="19" spans="1:44" s="183" customFormat="1" ht="15.75" customHeight="1">
      <c r="A19" s="178" t="s">
        <v>94</v>
      </c>
      <c r="B19" s="173">
        <v>33542</v>
      </c>
      <c r="C19" s="174">
        <v>3605.75</v>
      </c>
      <c r="D19" s="180">
        <v>176.3</v>
      </c>
      <c r="E19" s="206">
        <v>3619.2</v>
      </c>
      <c r="F19" s="180">
        <v>3210.8</v>
      </c>
      <c r="G19" s="180">
        <v>0</v>
      </c>
      <c r="H19" s="180">
        <v>0</v>
      </c>
      <c r="I19" s="180">
        <v>260.2</v>
      </c>
      <c r="J19" s="180">
        <v>148.2</v>
      </c>
      <c r="K19" s="181">
        <f>536.4+5</f>
        <v>541.4</v>
      </c>
      <c r="L19" s="359">
        <v>755.135</v>
      </c>
      <c r="M19" s="174"/>
      <c r="N19" s="174"/>
      <c r="O19" s="174"/>
      <c r="P19" s="174"/>
      <c r="Q19" s="293"/>
      <c r="R19" s="174"/>
      <c r="S19" s="174">
        <v>14175.44</v>
      </c>
      <c r="T19" s="293">
        <v>58.112</v>
      </c>
      <c r="U19" s="293"/>
      <c r="V19" s="293"/>
      <c r="W19" s="293"/>
      <c r="X19" s="174"/>
      <c r="Y19" s="177">
        <f t="shared" si="0"/>
        <v>56473.337</v>
      </c>
      <c r="Z19" s="182"/>
      <c r="AA19" s="205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</row>
    <row r="20" spans="1:44" s="183" customFormat="1" ht="15.75" customHeight="1">
      <c r="A20" s="178" t="s">
        <v>95</v>
      </c>
      <c r="B20" s="173">
        <v>60403.4</v>
      </c>
      <c r="C20" s="174">
        <v>8277.5</v>
      </c>
      <c r="D20" s="180">
        <v>2612.7</v>
      </c>
      <c r="E20" s="206">
        <v>7333.1</v>
      </c>
      <c r="F20" s="180">
        <v>6666.4</v>
      </c>
      <c r="G20" s="180">
        <v>0</v>
      </c>
      <c r="H20" s="180">
        <v>0</v>
      </c>
      <c r="I20" s="180">
        <v>455.1</v>
      </c>
      <c r="J20" s="180">
        <v>211.6</v>
      </c>
      <c r="K20" s="181">
        <f>461.1+20</f>
        <v>481.1</v>
      </c>
      <c r="L20" s="359">
        <v>1629.699</v>
      </c>
      <c r="M20" s="174"/>
      <c r="N20" s="174"/>
      <c r="O20" s="174"/>
      <c r="P20" s="174"/>
      <c r="Q20" s="293"/>
      <c r="R20" s="174"/>
      <c r="S20" s="174">
        <v>19955.095</v>
      </c>
      <c r="T20" s="293">
        <v>222.901</v>
      </c>
      <c r="U20" s="293"/>
      <c r="V20" s="293"/>
      <c r="W20" s="293"/>
      <c r="X20" s="174"/>
      <c r="Y20" s="177">
        <f t="shared" si="0"/>
        <v>100915.495</v>
      </c>
      <c r="Z20" s="182"/>
      <c r="AA20" s="205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</row>
    <row r="21" spans="1:44" s="183" customFormat="1" ht="15.75" customHeight="1">
      <c r="A21" s="178" t="s">
        <v>96</v>
      </c>
      <c r="B21" s="173">
        <v>5744.6</v>
      </c>
      <c r="C21" s="174">
        <v>590.4</v>
      </c>
      <c r="D21" s="180">
        <v>401.2</v>
      </c>
      <c r="E21" s="206">
        <v>92.7</v>
      </c>
      <c r="F21" s="180">
        <v>54.2</v>
      </c>
      <c r="G21" s="180">
        <v>0</v>
      </c>
      <c r="H21" s="180">
        <v>0</v>
      </c>
      <c r="I21" s="180">
        <v>19.2</v>
      </c>
      <c r="J21" s="180">
        <v>19.3</v>
      </c>
      <c r="K21" s="181">
        <f>149.1+5</f>
        <v>154.1</v>
      </c>
      <c r="L21" s="359">
        <v>337.737</v>
      </c>
      <c r="M21" s="174"/>
      <c r="N21" s="174"/>
      <c r="O21" s="174"/>
      <c r="P21" s="174"/>
      <c r="Q21" s="293"/>
      <c r="R21" s="174"/>
      <c r="S21" s="174">
        <v>1280.355</v>
      </c>
      <c r="T21" s="293">
        <v>225.4</v>
      </c>
      <c r="U21" s="293"/>
      <c r="V21" s="293"/>
      <c r="W21" s="293"/>
      <c r="X21" s="174"/>
      <c r="Y21" s="177">
        <f t="shared" si="0"/>
        <v>8826.492</v>
      </c>
      <c r="Z21" s="182"/>
      <c r="AA21" s="205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</row>
    <row r="22" spans="1:44" s="183" customFormat="1" ht="15.75" customHeight="1">
      <c r="A22" s="178" t="s">
        <v>97</v>
      </c>
      <c r="B22" s="173">
        <v>10541.1</v>
      </c>
      <c r="C22" s="174">
        <v>915.7</v>
      </c>
      <c r="D22" s="180">
        <v>437.8</v>
      </c>
      <c r="E22" s="206">
        <v>86.4</v>
      </c>
      <c r="F22" s="180">
        <v>0</v>
      </c>
      <c r="G22" s="180">
        <v>0</v>
      </c>
      <c r="H22" s="180">
        <v>0</v>
      </c>
      <c r="I22" s="180">
        <v>64.8</v>
      </c>
      <c r="J22" s="180">
        <v>21.6</v>
      </c>
      <c r="K22" s="181">
        <f>203.7+10</f>
        <v>213.7</v>
      </c>
      <c r="L22" s="359">
        <v>417.261</v>
      </c>
      <c r="M22" s="174"/>
      <c r="N22" s="174"/>
      <c r="O22" s="174"/>
      <c r="P22" s="174"/>
      <c r="Q22" s="293"/>
      <c r="R22" s="174"/>
      <c r="S22" s="174">
        <v>1610.765</v>
      </c>
      <c r="T22" s="293">
        <v>235.101</v>
      </c>
      <c r="U22" s="293"/>
      <c r="V22" s="293"/>
      <c r="W22" s="293"/>
      <c r="X22" s="174">
        <f>534.5+583.5</f>
        <v>1118</v>
      </c>
      <c r="Y22" s="177">
        <f t="shared" si="0"/>
        <v>15575.827000000001</v>
      </c>
      <c r="Z22" s="182"/>
      <c r="AA22" s="205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</row>
    <row r="23" spans="1:44" s="183" customFormat="1" ht="15.75" customHeight="1">
      <c r="A23" s="178" t="s">
        <v>98</v>
      </c>
      <c r="B23" s="173">
        <v>36315</v>
      </c>
      <c r="C23" s="174">
        <v>4083.54</v>
      </c>
      <c r="D23" s="180">
        <v>61.7</v>
      </c>
      <c r="E23" s="206">
        <v>1797.9</v>
      </c>
      <c r="F23" s="180">
        <v>1300.6</v>
      </c>
      <c r="G23" s="180">
        <v>0</v>
      </c>
      <c r="H23" s="180">
        <v>0</v>
      </c>
      <c r="I23" s="180">
        <v>335.3</v>
      </c>
      <c r="J23" s="180">
        <v>162</v>
      </c>
      <c r="K23" s="181">
        <v>287.5</v>
      </c>
      <c r="L23" s="359">
        <v>847.553</v>
      </c>
      <c r="M23" s="174"/>
      <c r="N23" s="174"/>
      <c r="O23" s="174"/>
      <c r="P23" s="174"/>
      <c r="Q23" s="293"/>
      <c r="R23" s="174"/>
      <c r="S23" s="174">
        <v>16578.505</v>
      </c>
      <c r="T23" s="293">
        <v>49.742</v>
      </c>
      <c r="U23" s="293"/>
      <c r="V23" s="293"/>
      <c r="W23" s="293"/>
      <c r="X23" s="174">
        <f>9243.6+936.1</f>
        <v>10179.7</v>
      </c>
      <c r="Y23" s="177">
        <f t="shared" si="0"/>
        <v>70201.14</v>
      </c>
      <c r="Z23" s="182"/>
      <c r="AA23" s="205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</row>
    <row r="24" spans="1:44" s="183" customFormat="1" ht="15.75" customHeight="1">
      <c r="A24" s="178" t="s">
        <v>99</v>
      </c>
      <c r="B24" s="173">
        <v>93329.7</v>
      </c>
      <c r="C24" s="174">
        <v>10546.1</v>
      </c>
      <c r="D24" s="180">
        <v>298.9</v>
      </c>
      <c r="E24" s="206">
        <v>20049.4</v>
      </c>
      <c r="F24" s="180">
        <v>18916.4</v>
      </c>
      <c r="G24" s="180">
        <v>0</v>
      </c>
      <c r="H24" s="180">
        <v>0</v>
      </c>
      <c r="I24" s="180">
        <v>911.3</v>
      </c>
      <c r="J24" s="180">
        <v>221.7</v>
      </c>
      <c r="K24" s="180">
        <v>296</v>
      </c>
      <c r="L24" s="359">
        <v>1834.595</v>
      </c>
      <c r="M24" s="174"/>
      <c r="N24" s="174"/>
      <c r="O24" s="174"/>
      <c r="P24" s="174"/>
      <c r="Q24" s="293"/>
      <c r="R24" s="174"/>
      <c r="S24" s="174">
        <v>29057.396</v>
      </c>
      <c r="T24" s="293">
        <v>4.893</v>
      </c>
      <c r="U24" s="293"/>
      <c r="V24" s="293"/>
      <c r="W24" s="293"/>
      <c r="X24" s="174">
        <v>1025.3</v>
      </c>
      <c r="Y24" s="177">
        <f t="shared" si="0"/>
        <v>156442.28399999999</v>
      </c>
      <c r="Z24" s="182"/>
      <c r="AA24" s="205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</row>
    <row r="25" spans="1:44" s="183" customFormat="1" ht="15.75" customHeight="1">
      <c r="A25" s="178" t="s">
        <v>100</v>
      </c>
      <c r="B25" s="173">
        <v>31337.4</v>
      </c>
      <c r="C25" s="174">
        <v>2671.72</v>
      </c>
      <c r="D25" s="180">
        <v>2355.9</v>
      </c>
      <c r="E25" s="206">
        <v>524.1</v>
      </c>
      <c r="F25" s="180">
        <v>233.8</v>
      </c>
      <c r="G25" s="180">
        <v>0</v>
      </c>
      <c r="H25" s="180">
        <v>0</v>
      </c>
      <c r="I25" s="180">
        <v>244.2</v>
      </c>
      <c r="J25" s="180">
        <v>46.1</v>
      </c>
      <c r="K25" s="181">
        <f>113.4+38</f>
        <v>151.4</v>
      </c>
      <c r="L25" s="359">
        <v>942.108</v>
      </c>
      <c r="M25" s="174"/>
      <c r="N25" s="174"/>
      <c r="O25" s="174"/>
      <c r="P25" s="174"/>
      <c r="Q25" s="293"/>
      <c r="R25" s="174"/>
      <c r="S25" s="174">
        <v>4929.685</v>
      </c>
      <c r="T25" s="293">
        <v>138.701</v>
      </c>
      <c r="U25" s="293"/>
      <c r="V25" s="293"/>
      <c r="W25" s="293"/>
      <c r="X25" s="174"/>
      <c r="Y25" s="177">
        <f t="shared" si="0"/>
        <v>43051.014</v>
      </c>
      <c r="Z25" s="182"/>
      <c r="AA25" s="205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</row>
    <row r="26" spans="1:44" s="183" customFormat="1" ht="15.75" customHeight="1">
      <c r="A26" s="178" t="s">
        <v>101</v>
      </c>
      <c r="B26" s="173">
        <v>24377.6</v>
      </c>
      <c r="C26" s="174">
        <v>1379.8</v>
      </c>
      <c r="D26" s="180">
        <v>829</v>
      </c>
      <c r="E26" s="206">
        <v>5191.6</v>
      </c>
      <c r="F26" s="180">
        <v>145.3</v>
      </c>
      <c r="G26" s="180">
        <v>3693.6</v>
      </c>
      <c r="H26" s="180">
        <v>1150.1</v>
      </c>
      <c r="I26" s="180">
        <v>162.4</v>
      </c>
      <c r="J26" s="180">
        <v>40.2</v>
      </c>
      <c r="K26" s="181">
        <f>77.8+2</f>
        <v>79.8</v>
      </c>
      <c r="L26" s="359">
        <v>1218.96</v>
      </c>
      <c r="M26" s="174"/>
      <c r="N26" s="174"/>
      <c r="O26" s="174"/>
      <c r="P26" s="174"/>
      <c r="Q26" s="174"/>
      <c r="R26" s="174"/>
      <c r="S26" s="174">
        <v>3495.16</v>
      </c>
      <c r="T26" s="293">
        <v>389.001</v>
      </c>
      <c r="U26" s="174">
        <v>2000</v>
      </c>
      <c r="V26" s="174"/>
      <c r="W26" s="174"/>
      <c r="X26" s="174">
        <f>590.3-22.1+556+624.5</f>
        <v>1748.6999999999998</v>
      </c>
      <c r="Y26" s="177">
        <f t="shared" si="0"/>
        <v>40709.621</v>
      </c>
      <c r="Z26" s="182"/>
      <c r="AA26" s="205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</row>
    <row r="27" spans="1:44" s="183" customFormat="1" ht="15.75" customHeight="1">
      <c r="A27" s="178" t="s">
        <v>102</v>
      </c>
      <c r="B27" s="173">
        <v>150731.7</v>
      </c>
      <c r="C27" s="174">
        <v>17350.3</v>
      </c>
      <c r="D27" s="180">
        <v>4443</v>
      </c>
      <c r="E27" s="206">
        <v>5731.1</v>
      </c>
      <c r="F27" s="180">
        <v>4827.6</v>
      </c>
      <c r="G27" s="180">
        <v>0</v>
      </c>
      <c r="H27" s="180">
        <v>0</v>
      </c>
      <c r="I27" s="180">
        <v>674.1</v>
      </c>
      <c r="J27" s="180">
        <v>229.4</v>
      </c>
      <c r="K27" s="180">
        <f>1010.5+20</f>
        <v>1030.5</v>
      </c>
      <c r="L27" s="359">
        <v>3569.412</v>
      </c>
      <c r="M27" s="174"/>
      <c r="N27" s="174"/>
      <c r="O27" s="174"/>
      <c r="P27" s="174"/>
      <c r="Q27" s="293"/>
      <c r="R27" s="174"/>
      <c r="S27" s="174">
        <v>32202.74</v>
      </c>
      <c r="T27" s="293">
        <v>698.302</v>
      </c>
      <c r="U27" s="293"/>
      <c r="V27" s="293"/>
      <c r="W27" s="293"/>
      <c r="X27" s="174"/>
      <c r="Y27" s="177">
        <f t="shared" si="0"/>
        <v>215757.054</v>
      </c>
      <c r="Z27" s="182"/>
      <c r="AA27" s="205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</row>
    <row r="28" spans="1:44" s="183" customFormat="1" ht="15.75" customHeight="1">
      <c r="A28" s="178" t="s">
        <v>103</v>
      </c>
      <c r="B28" s="173">
        <v>166536</v>
      </c>
      <c r="C28" s="174">
        <v>15931.7</v>
      </c>
      <c r="D28" s="180">
        <v>382.3</v>
      </c>
      <c r="E28" s="206">
        <v>21209.4</v>
      </c>
      <c r="F28" s="180">
        <v>18257.3</v>
      </c>
      <c r="G28" s="180">
        <v>0</v>
      </c>
      <c r="H28" s="180">
        <v>0</v>
      </c>
      <c r="I28" s="180">
        <v>1832</v>
      </c>
      <c r="J28" s="180">
        <v>1120.1</v>
      </c>
      <c r="K28" s="180">
        <f>879.2+69</f>
        <v>948.2</v>
      </c>
      <c r="L28" s="359">
        <v>3617.61</v>
      </c>
      <c r="M28" s="174"/>
      <c r="N28" s="174"/>
      <c r="O28" s="174"/>
      <c r="P28" s="174"/>
      <c r="Q28" s="293"/>
      <c r="R28" s="174"/>
      <c r="S28" s="174">
        <v>34580.196</v>
      </c>
      <c r="T28" s="293">
        <v>246.964</v>
      </c>
      <c r="U28" s="293"/>
      <c r="V28" s="293"/>
      <c r="W28" s="293"/>
      <c r="X28" s="174">
        <f>132-4.9</f>
        <v>127.1</v>
      </c>
      <c r="Y28" s="177">
        <f t="shared" si="0"/>
        <v>243579.47</v>
      </c>
      <c r="Z28" s="182"/>
      <c r="AA28" s="205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</row>
    <row r="29" spans="1:44" s="183" customFormat="1" ht="15.75" customHeight="1">
      <c r="A29" s="178" t="s">
        <v>104</v>
      </c>
      <c r="B29" s="173">
        <v>6427.7</v>
      </c>
      <c r="C29" s="174">
        <v>435.4</v>
      </c>
      <c r="D29" s="180">
        <v>345.3</v>
      </c>
      <c r="E29" s="206">
        <v>112.9</v>
      </c>
      <c r="F29" s="180">
        <v>47.7</v>
      </c>
      <c r="G29" s="180">
        <v>0</v>
      </c>
      <c r="H29" s="180">
        <v>0</v>
      </c>
      <c r="I29" s="180">
        <v>38.6</v>
      </c>
      <c r="J29" s="180">
        <v>26.6</v>
      </c>
      <c r="K29" s="180">
        <f>198.1+15</f>
        <v>213.1</v>
      </c>
      <c r="L29" s="359">
        <v>342.367</v>
      </c>
      <c r="M29" s="174"/>
      <c r="N29" s="174"/>
      <c r="O29" s="174"/>
      <c r="P29" s="174"/>
      <c r="Q29" s="293"/>
      <c r="R29" s="174"/>
      <c r="S29" s="174">
        <v>0</v>
      </c>
      <c r="T29" s="293">
        <v>128.001</v>
      </c>
      <c r="U29" s="293"/>
      <c r="V29" s="293"/>
      <c r="W29" s="293"/>
      <c r="X29" s="174"/>
      <c r="Y29" s="177">
        <f t="shared" si="0"/>
        <v>8004.768</v>
      </c>
      <c r="Z29" s="182"/>
      <c r="AA29" s="205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</row>
    <row r="30" spans="1:44" s="183" customFormat="1" ht="15.75" customHeight="1">
      <c r="A30" s="178" t="s">
        <v>105</v>
      </c>
      <c r="B30" s="173">
        <v>23328</v>
      </c>
      <c r="C30" s="174">
        <v>1471.8</v>
      </c>
      <c r="D30" s="180">
        <v>1016</v>
      </c>
      <c r="E30" s="206">
        <v>525.1</v>
      </c>
      <c r="F30" s="180">
        <v>287.7</v>
      </c>
      <c r="G30" s="180">
        <v>0</v>
      </c>
      <c r="H30" s="180">
        <v>0</v>
      </c>
      <c r="I30" s="180">
        <v>155.7</v>
      </c>
      <c r="J30" s="180">
        <v>81.7</v>
      </c>
      <c r="K30" s="180">
        <f>119.3+5</f>
        <v>124.3</v>
      </c>
      <c r="L30" s="359">
        <v>917.898</v>
      </c>
      <c r="M30" s="174"/>
      <c r="N30" s="174"/>
      <c r="O30" s="174"/>
      <c r="P30" s="174"/>
      <c r="Q30" s="293"/>
      <c r="R30" s="174"/>
      <c r="S30" s="174">
        <v>1711.344</v>
      </c>
      <c r="T30" s="293">
        <v>352.101</v>
      </c>
      <c r="U30" s="293"/>
      <c r="V30" s="293"/>
      <c r="W30" s="293"/>
      <c r="X30" s="174">
        <f>5450.1+1880.8</f>
        <v>7330.900000000001</v>
      </c>
      <c r="Y30" s="177">
        <f t="shared" si="0"/>
        <v>36777.443</v>
      </c>
      <c r="Z30" s="182"/>
      <c r="AA30" s="205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</row>
    <row r="31" spans="1:44" s="183" customFormat="1" ht="15.75" customHeight="1">
      <c r="A31" s="178" t="s">
        <v>106</v>
      </c>
      <c r="B31" s="173">
        <v>65352.6</v>
      </c>
      <c r="C31" s="174">
        <v>9010.1</v>
      </c>
      <c r="D31" s="180">
        <v>324.9</v>
      </c>
      <c r="E31" s="206">
        <v>4641.5</v>
      </c>
      <c r="F31" s="180">
        <v>3952.9</v>
      </c>
      <c r="G31" s="180">
        <v>0</v>
      </c>
      <c r="H31" s="180">
        <v>0</v>
      </c>
      <c r="I31" s="180">
        <v>596</v>
      </c>
      <c r="J31" s="180">
        <v>92.6</v>
      </c>
      <c r="K31" s="180">
        <f>601.1+50</f>
        <v>651.1</v>
      </c>
      <c r="L31" s="359">
        <v>1490.353</v>
      </c>
      <c r="M31" s="174"/>
      <c r="N31" s="174"/>
      <c r="O31" s="174"/>
      <c r="P31" s="174"/>
      <c r="Q31" s="293"/>
      <c r="R31" s="174"/>
      <c r="S31" s="174">
        <v>18589.963</v>
      </c>
      <c r="T31" s="293">
        <v>353.301</v>
      </c>
      <c r="U31" s="293"/>
      <c r="V31" s="293"/>
      <c r="W31" s="293"/>
      <c r="X31" s="174">
        <f>529.6-19.8</f>
        <v>509.8</v>
      </c>
      <c r="Y31" s="177">
        <f t="shared" si="0"/>
        <v>100923.617</v>
      </c>
      <c r="Z31" s="182"/>
      <c r="AA31" s="205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</row>
    <row r="32" spans="1:44" s="183" customFormat="1" ht="15.75" customHeight="1">
      <c r="A32" s="178" t="s">
        <v>107</v>
      </c>
      <c r="B32" s="173">
        <v>33929.7</v>
      </c>
      <c r="C32" s="174">
        <v>2263.3</v>
      </c>
      <c r="D32" s="180">
        <v>981.1</v>
      </c>
      <c r="E32" s="206">
        <v>375.1</v>
      </c>
      <c r="F32" s="180">
        <v>196.9</v>
      </c>
      <c r="G32" s="180">
        <v>0</v>
      </c>
      <c r="H32" s="180">
        <v>0</v>
      </c>
      <c r="I32" s="180">
        <v>141.3</v>
      </c>
      <c r="J32" s="180">
        <v>36.9</v>
      </c>
      <c r="K32" s="180">
        <f>317.9+10</f>
        <v>327.9</v>
      </c>
      <c r="L32" s="359">
        <v>1085.257</v>
      </c>
      <c r="M32" s="174"/>
      <c r="N32" s="174"/>
      <c r="O32" s="174"/>
      <c r="P32" s="174"/>
      <c r="Q32" s="293"/>
      <c r="R32" s="174"/>
      <c r="S32" s="174">
        <v>2719.956</v>
      </c>
      <c r="T32" s="293">
        <v>363.7</v>
      </c>
      <c r="U32" s="293"/>
      <c r="V32" s="293"/>
      <c r="W32" s="293"/>
      <c r="X32" s="174"/>
      <c r="Y32" s="177">
        <f t="shared" si="0"/>
        <v>42046.013</v>
      </c>
      <c r="Z32" s="182"/>
      <c r="AA32" s="205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</row>
    <row r="33" spans="1:44" s="183" customFormat="1" ht="15.75" customHeight="1">
      <c r="A33" s="178" t="s">
        <v>108</v>
      </c>
      <c r="B33" s="173">
        <v>39132.8</v>
      </c>
      <c r="C33" s="174">
        <v>2678.23</v>
      </c>
      <c r="D33" s="306">
        <v>2271</v>
      </c>
      <c r="E33" s="206">
        <v>434.3</v>
      </c>
      <c r="F33" s="180">
        <v>170.2</v>
      </c>
      <c r="G33" s="180">
        <v>0</v>
      </c>
      <c r="H33" s="180">
        <v>0</v>
      </c>
      <c r="I33" s="180">
        <v>182.8</v>
      </c>
      <c r="J33" s="180">
        <v>81.3</v>
      </c>
      <c r="K33" s="180">
        <f>54.4+13</f>
        <v>67.4</v>
      </c>
      <c r="L33" s="359">
        <v>1005.314</v>
      </c>
      <c r="M33" s="174"/>
      <c r="N33" s="174"/>
      <c r="O33" s="174"/>
      <c r="P33" s="174"/>
      <c r="Q33" s="293"/>
      <c r="R33" s="174"/>
      <c r="S33" s="174">
        <v>4112.866</v>
      </c>
      <c r="T33" s="293">
        <v>338.401</v>
      </c>
      <c r="U33" s="293"/>
      <c r="V33" s="293"/>
      <c r="W33" s="293"/>
      <c r="X33" s="174"/>
      <c r="Y33" s="177">
        <f t="shared" si="0"/>
        <v>50040.311</v>
      </c>
      <c r="Z33" s="182"/>
      <c r="AA33" s="205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</row>
    <row r="34" spans="1:44" s="183" customFormat="1" ht="15.75" customHeight="1">
      <c r="A34" s="178" t="s">
        <v>109</v>
      </c>
      <c r="B34" s="305">
        <v>7037.8</v>
      </c>
      <c r="C34" s="174">
        <v>798.6</v>
      </c>
      <c r="D34" s="180">
        <v>1554.4</v>
      </c>
      <c r="E34" s="206">
        <v>193.6</v>
      </c>
      <c r="F34" s="180">
        <v>157.8</v>
      </c>
      <c r="G34" s="180">
        <v>0</v>
      </c>
      <c r="H34" s="180">
        <v>0</v>
      </c>
      <c r="I34" s="180">
        <v>23.9</v>
      </c>
      <c r="J34" s="180">
        <v>11.9</v>
      </c>
      <c r="K34" s="180">
        <f>79.8+10</f>
        <v>89.8</v>
      </c>
      <c r="L34" s="359">
        <v>340.008</v>
      </c>
      <c r="M34" s="174"/>
      <c r="N34" s="174"/>
      <c r="O34" s="174"/>
      <c r="P34" s="174"/>
      <c r="Q34" s="293"/>
      <c r="R34" s="174"/>
      <c r="S34" s="174">
        <v>1292.4</v>
      </c>
      <c r="T34" s="293"/>
      <c r="U34" s="293"/>
      <c r="V34" s="293"/>
      <c r="W34" s="293"/>
      <c r="X34" s="174"/>
      <c r="Y34" s="177">
        <f t="shared" si="0"/>
        <v>11306.608</v>
      </c>
      <c r="Z34" s="182"/>
      <c r="AA34" s="205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</row>
    <row r="35" spans="1:44" s="183" customFormat="1" ht="15.75" customHeight="1">
      <c r="A35" s="178" t="s">
        <v>110</v>
      </c>
      <c r="B35" s="173">
        <v>48571.6</v>
      </c>
      <c r="C35" s="174">
        <v>6488.1</v>
      </c>
      <c r="D35" s="180">
        <v>991.7</v>
      </c>
      <c r="E35" s="206">
        <v>3130.8</v>
      </c>
      <c r="F35" s="180">
        <v>2732.9</v>
      </c>
      <c r="G35" s="180">
        <v>0</v>
      </c>
      <c r="H35" s="180">
        <v>0</v>
      </c>
      <c r="I35" s="180">
        <v>311.2</v>
      </c>
      <c r="J35" s="180">
        <v>86.7</v>
      </c>
      <c r="K35" s="181">
        <f>590.8+25</f>
        <v>615.8</v>
      </c>
      <c r="L35" s="359">
        <v>1313.963</v>
      </c>
      <c r="M35" s="174"/>
      <c r="N35" s="174"/>
      <c r="O35" s="174"/>
      <c r="P35" s="174"/>
      <c r="Q35" s="293"/>
      <c r="R35" s="174"/>
      <c r="S35" s="174">
        <v>14894.185</v>
      </c>
      <c r="T35" s="293">
        <v>479.552</v>
      </c>
      <c r="U35" s="293"/>
      <c r="V35" s="293"/>
      <c r="W35" s="293"/>
      <c r="X35" s="174">
        <v>334.7</v>
      </c>
      <c r="Y35" s="177">
        <f t="shared" si="0"/>
        <v>76820.4</v>
      </c>
      <c r="Z35" s="182"/>
      <c r="AA35" s="205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</row>
    <row r="36" spans="1:44" s="183" customFormat="1" ht="15.75" customHeight="1">
      <c r="A36" s="178" t="s">
        <v>111</v>
      </c>
      <c r="B36" s="173">
        <v>30216.3</v>
      </c>
      <c r="C36" s="174">
        <v>2567.1</v>
      </c>
      <c r="D36" s="180">
        <v>1402.4</v>
      </c>
      <c r="E36" s="206">
        <v>644.3</v>
      </c>
      <c r="F36" s="180">
        <v>473</v>
      </c>
      <c r="G36" s="180">
        <v>0</v>
      </c>
      <c r="H36" s="180">
        <v>0</v>
      </c>
      <c r="I36" s="180">
        <v>125.6</v>
      </c>
      <c r="J36" s="180">
        <v>45.7</v>
      </c>
      <c r="K36" s="180">
        <f>203.4+15</f>
        <v>218.4</v>
      </c>
      <c r="L36" s="359">
        <v>916.204</v>
      </c>
      <c r="M36" s="174"/>
      <c r="N36" s="174"/>
      <c r="O36" s="174"/>
      <c r="P36" s="174"/>
      <c r="Q36" s="293"/>
      <c r="R36" s="174"/>
      <c r="S36" s="174">
        <v>4023.314</v>
      </c>
      <c r="T36" s="293">
        <v>576.2</v>
      </c>
      <c r="U36" s="293"/>
      <c r="V36" s="293"/>
      <c r="W36" s="293"/>
      <c r="X36" s="174">
        <f>7185.8+1814.2</f>
        <v>9000</v>
      </c>
      <c r="Y36" s="177">
        <f t="shared" si="0"/>
        <v>49564.21799999999</v>
      </c>
      <c r="Z36" s="182"/>
      <c r="AA36" s="205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</row>
    <row r="37" spans="1:44" s="183" customFormat="1" ht="15.75" customHeight="1">
      <c r="A37" s="178" t="s">
        <v>112</v>
      </c>
      <c r="B37" s="173">
        <v>14043.2</v>
      </c>
      <c r="C37" s="174">
        <v>1752.4</v>
      </c>
      <c r="D37" s="180">
        <v>213.6</v>
      </c>
      <c r="E37" s="206">
        <v>5483.8</v>
      </c>
      <c r="F37" s="180">
        <v>351.1</v>
      </c>
      <c r="G37" s="180">
        <v>2961.6</v>
      </c>
      <c r="H37" s="180">
        <v>1939.4</v>
      </c>
      <c r="I37" s="180">
        <v>199.4</v>
      </c>
      <c r="J37" s="180">
        <v>32.3</v>
      </c>
      <c r="K37" s="181">
        <f>245.4+9</f>
        <v>254.4</v>
      </c>
      <c r="L37" s="359">
        <v>513.001</v>
      </c>
      <c r="M37" s="174"/>
      <c r="N37" s="174"/>
      <c r="O37" s="174"/>
      <c r="P37" s="174"/>
      <c r="Q37" s="293"/>
      <c r="R37" s="174"/>
      <c r="S37" s="174">
        <v>3548.766</v>
      </c>
      <c r="T37" s="293"/>
      <c r="U37" s="293"/>
      <c r="V37" s="293"/>
      <c r="W37" s="293"/>
      <c r="X37" s="174">
        <f>1567.3+206.5</f>
        <v>1773.8</v>
      </c>
      <c r="Y37" s="177">
        <f t="shared" si="0"/>
        <v>27582.967</v>
      </c>
      <c r="Z37" s="182"/>
      <c r="AA37" s="205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</row>
    <row r="38" spans="1:44" s="183" customFormat="1" ht="15.75" customHeight="1">
      <c r="A38" s="178" t="s">
        <v>113</v>
      </c>
      <c r="B38" s="173">
        <v>10576.2</v>
      </c>
      <c r="C38" s="174">
        <v>337.84</v>
      </c>
      <c r="D38" s="180">
        <v>426.3</v>
      </c>
      <c r="E38" s="206">
        <v>52.1</v>
      </c>
      <c r="F38" s="180">
        <v>0</v>
      </c>
      <c r="G38" s="180">
        <v>0</v>
      </c>
      <c r="H38" s="180">
        <v>0</v>
      </c>
      <c r="I38" s="180">
        <v>38.6</v>
      </c>
      <c r="J38" s="180">
        <v>13.5</v>
      </c>
      <c r="K38" s="181">
        <f>114.8+3</f>
        <v>117.8</v>
      </c>
      <c r="L38" s="359">
        <v>893.219</v>
      </c>
      <c r="M38" s="174"/>
      <c r="N38" s="174"/>
      <c r="O38" s="174"/>
      <c r="P38" s="174"/>
      <c r="Q38" s="293"/>
      <c r="R38" s="174"/>
      <c r="S38" s="174">
        <v>882.745</v>
      </c>
      <c r="T38" s="293"/>
      <c r="U38" s="293"/>
      <c r="V38" s="293"/>
      <c r="W38" s="293"/>
      <c r="X38" s="174">
        <f>459.6-17.2+60</f>
        <v>502.40000000000003</v>
      </c>
      <c r="Y38" s="177">
        <f t="shared" si="0"/>
        <v>13788.604000000001</v>
      </c>
      <c r="Z38" s="182"/>
      <c r="AA38" s="205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</row>
    <row r="39" spans="1:44" s="183" customFormat="1" ht="15.75" customHeight="1">
      <c r="A39" s="178" t="s">
        <v>114</v>
      </c>
      <c r="B39" s="173">
        <v>23865.6</v>
      </c>
      <c r="C39" s="174">
        <v>1447.3</v>
      </c>
      <c r="D39" s="180">
        <v>544.4</v>
      </c>
      <c r="E39" s="206">
        <v>516.5</v>
      </c>
      <c r="F39" s="180">
        <v>267.7</v>
      </c>
      <c r="G39" s="180">
        <v>0</v>
      </c>
      <c r="H39" s="180">
        <v>0</v>
      </c>
      <c r="I39" s="180">
        <v>159.9</v>
      </c>
      <c r="J39" s="180">
        <v>88.9</v>
      </c>
      <c r="K39" s="180">
        <f>106.3+9</f>
        <v>115.3</v>
      </c>
      <c r="L39" s="359">
        <v>1285.284</v>
      </c>
      <c r="M39" s="174"/>
      <c r="N39" s="174"/>
      <c r="O39" s="174"/>
      <c r="P39" s="174"/>
      <c r="Q39" s="293"/>
      <c r="R39" s="174"/>
      <c r="S39" s="174">
        <v>7964.848</v>
      </c>
      <c r="T39" s="293"/>
      <c r="U39" s="293"/>
      <c r="V39" s="293"/>
      <c r="W39" s="293"/>
      <c r="X39" s="174">
        <f>1067.5-40+521+811.8</f>
        <v>2360.3</v>
      </c>
      <c r="Y39" s="177">
        <f t="shared" si="0"/>
        <v>38099.532</v>
      </c>
      <c r="Z39" s="182"/>
      <c r="AA39" s="205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</row>
    <row r="40" spans="1:44" s="183" customFormat="1" ht="15.75" customHeight="1">
      <c r="A40" s="178" t="s">
        <v>115</v>
      </c>
      <c r="B40" s="173">
        <v>22999.4</v>
      </c>
      <c r="C40" s="174">
        <v>1114.8</v>
      </c>
      <c r="D40" s="180">
        <v>481.8</v>
      </c>
      <c r="E40" s="206">
        <v>294.6</v>
      </c>
      <c r="F40" s="180">
        <v>161.3</v>
      </c>
      <c r="G40" s="180">
        <v>0</v>
      </c>
      <c r="H40" s="180">
        <v>0</v>
      </c>
      <c r="I40" s="180">
        <v>83.4</v>
      </c>
      <c r="J40" s="180">
        <v>49.9</v>
      </c>
      <c r="K40" s="180">
        <f>147.5+5</f>
        <v>152.5</v>
      </c>
      <c r="L40" s="359">
        <v>1750.588</v>
      </c>
      <c r="M40" s="174"/>
      <c r="N40" s="174"/>
      <c r="O40" s="174"/>
      <c r="P40" s="174"/>
      <c r="Q40" s="293"/>
      <c r="R40" s="174"/>
      <c r="S40" s="174">
        <v>4405.284</v>
      </c>
      <c r="T40" s="293"/>
      <c r="U40" s="293"/>
      <c r="V40" s="293"/>
      <c r="W40" s="293"/>
      <c r="X40" s="174">
        <f>1201.7-45+450.3</f>
        <v>1607</v>
      </c>
      <c r="Y40" s="177">
        <f t="shared" si="0"/>
        <v>32805.972</v>
      </c>
      <c r="Z40" s="182"/>
      <c r="AA40" s="205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</row>
    <row r="41" spans="1:44" s="183" customFormat="1" ht="15.75" customHeight="1">
      <c r="A41" s="178" t="s">
        <v>116</v>
      </c>
      <c r="B41" s="173">
        <v>19444.1</v>
      </c>
      <c r="C41" s="174">
        <v>822.1</v>
      </c>
      <c r="D41" s="180">
        <v>1406.7</v>
      </c>
      <c r="E41" s="206">
        <v>281.8</v>
      </c>
      <c r="F41" s="180">
        <v>96.1</v>
      </c>
      <c r="G41" s="180">
        <v>0</v>
      </c>
      <c r="H41" s="180">
        <v>0</v>
      </c>
      <c r="I41" s="180">
        <v>107.7</v>
      </c>
      <c r="J41" s="180">
        <v>78</v>
      </c>
      <c r="K41" s="180">
        <f>286.8+10</f>
        <v>296.8</v>
      </c>
      <c r="L41" s="359">
        <v>1343.559</v>
      </c>
      <c r="M41" s="174"/>
      <c r="N41" s="174"/>
      <c r="O41" s="174"/>
      <c r="P41" s="174"/>
      <c r="Q41" s="293"/>
      <c r="R41" s="174"/>
      <c r="S41" s="174">
        <v>264.42</v>
      </c>
      <c r="T41" s="293"/>
      <c r="U41" s="293"/>
      <c r="V41" s="293"/>
      <c r="W41" s="293"/>
      <c r="X41" s="174">
        <f>921.1-34.5+168.8</f>
        <v>1055.4</v>
      </c>
      <c r="Y41" s="177">
        <f t="shared" si="0"/>
        <v>24914.879</v>
      </c>
      <c r="Z41" s="182"/>
      <c r="AA41" s="205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</row>
    <row r="42" spans="1:44" s="183" customFormat="1" ht="15.75" customHeight="1">
      <c r="A42" s="178" t="s">
        <v>117</v>
      </c>
      <c r="B42" s="173">
        <v>38167.5</v>
      </c>
      <c r="C42" s="174">
        <v>2627.79</v>
      </c>
      <c r="D42" s="180">
        <v>1191.5</v>
      </c>
      <c r="E42" s="206">
        <v>400.5</v>
      </c>
      <c r="F42" s="180">
        <v>214</v>
      </c>
      <c r="G42" s="180">
        <v>0</v>
      </c>
      <c r="H42" s="180">
        <v>0</v>
      </c>
      <c r="I42" s="180">
        <v>134.6</v>
      </c>
      <c r="J42" s="180">
        <v>51.9</v>
      </c>
      <c r="K42" s="180">
        <f>407+14</f>
        <v>421</v>
      </c>
      <c r="L42" s="359">
        <v>2242.98</v>
      </c>
      <c r="M42" s="174">
        <f>100-100+100</f>
        <v>100</v>
      </c>
      <c r="N42" s="174"/>
      <c r="O42" s="174"/>
      <c r="P42" s="174"/>
      <c r="Q42" s="293"/>
      <c r="R42" s="174"/>
      <c r="S42" s="174">
        <v>6910.647</v>
      </c>
      <c r="T42" s="293"/>
      <c r="U42" s="293"/>
      <c r="V42" s="293"/>
      <c r="W42" s="293"/>
      <c r="X42" s="174">
        <f>1108.6-41.5+120.9</f>
        <v>1188</v>
      </c>
      <c r="Y42" s="177">
        <f t="shared" si="0"/>
        <v>53249.917</v>
      </c>
      <c r="Z42" s="182"/>
      <c r="AA42" s="205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</row>
    <row r="43" spans="1:44" s="183" customFormat="1" ht="15.75" customHeight="1">
      <c r="A43" s="178" t="s">
        <v>118</v>
      </c>
      <c r="B43" s="173">
        <v>13021.9</v>
      </c>
      <c r="C43" s="174">
        <v>457.1</v>
      </c>
      <c r="D43" s="180">
        <v>229.1</v>
      </c>
      <c r="E43" s="206">
        <v>240.4</v>
      </c>
      <c r="F43" s="180">
        <v>140</v>
      </c>
      <c r="G43" s="180">
        <v>0</v>
      </c>
      <c r="H43" s="180">
        <v>0</v>
      </c>
      <c r="I43" s="180">
        <v>66.7</v>
      </c>
      <c r="J43" s="180">
        <v>33.7</v>
      </c>
      <c r="K43" s="180">
        <v>141.8</v>
      </c>
      <c r="L43" s="359">
        <v>859.257</v>
      </c>
      <c r="M43" s="174"/>
      <c r="N43" s="174"/>
      <c r="O43" s="174"/>
      <c r="P43" s="174"/>
      <c r="Q43" s="293"/>
      <c r="R43" s="174"/>
      <c r="S43" s="174">
        <v>2622.442</v>
      </c>
      <c r="T43" s="293"/>
      <c r="U43" s="293"/>
      <c r="V43" s="293"/>
      <c r="W43" s="293"/>
      <c r="X43" s="174">
        <f>725.6-27.2+237.6+289.9</f>
        <v>1225.9</v>
      </c>
      <c r="Y43" s="177">
        <f t="shared" si="0"/>
        <v>18797.899</v>
      </c>
      <c r="Z43" s="182"/>
      <c r="AA43" s="205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</row>
    <row r="44" spans="1:44" s="183" customFormat="1" ht="15.75" customHeight="1">
      <c r="A44" s="178" t="s">
        <v>119</v>
      </c>
      <c r="B44" s="173">
        <v>8352</v>
      </c>
      <c r="C44" s="174">
        <v>204.7</v>
      </c>
      <c r="D44" s="180">
        <v>299.6</v>
      </c>
      <c r="E44" s="206">
        <v>50.6</v>
      </c>
      <c r="F44" s="180">
        <v>15.6</v>
      </c>
      <c r="G44" s="180">
        <v>0</v>
      </c>
      <c r="H44" s="180">
        <v>0</v>
      </c>
      <c r="I44" s="180">
        <v>12.1</v>
      </c>
      <c r="J44" s="180">
        <v>22.9</v>
      </c>
      <c r="K44" s="180">
        <f>95.2+10</f>
        <v>105.2</v>
      </c>
      <c r="L44" s="359">
        <v>793.96</v>
      </c>
      <c r="M44" s="174"/>
      <c r="N44" s="174"/>
      <c r="O44" s="174"/>
      <c r="P44" s="174"/>
      <c r="Q44" s="293"/>
      <c r="R44" s="174"/>
      <c r="S44" s="174">
        <v>0</v>
      </c>
      <c r="T44" s="293"/>
      <c r="U44" s="293"/>
      <c r="V44" s="293"/>
      <c r="W44" s="293"/>
      <c r="X44" s="174">
        <f>693-26+265.1+456</f>
        <v>1388.1</v>
      </c>
      <c r="Y44" s="177">
        <f t="shared" si="0"/>
        <v>11194.16</v>
      </c>
      <c r="Z44" s="182"/>
      <c r="AA44" s="205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</row>
    <row r="45" spans="1:44" s="183" customFormat="1" ht="15.75" customHeight="1">
      <c r="A45" s="178" t="s">
        <v>120</v>
      </c>
      <c r="B45" s="173">
        <v>9651.8</v>
      </c>
      <c r="C45" s="174">
        <v>305.5</v>
      </c>
      <c r="D45" s="180">
        <v>177.8</v>
      </c>
      <c r="E45" s="206">
        <v>212.3</v>
      </c>
      <c r="F45" s="180">
        <v>172.1</v>
      </c>
      <c r="G45" s="180">
        <v>0</v>
      </c>
      <c r="H45" s="180">
        <v>0</v>
      </c>
      <c r="I45" s="180">
        <v>19.2</v>
      </c>
      <c r="J45" s="180">
        <v>21</v>
      </c>
      <c r="K45" s="180">
        <f>43.2+3</f>
        <v>46.2</v>
      </c>
      <c r="L45" s="359">
        <v>1136.312</v>
      </c>
      <c r="M45" s="174"/>
      <c r="N45" s="174"/>
      <c r="O45" s="174"/>
      <c r="P45" s="174"/>
      <c r="Q45" s="293"/>
      <c r="R45" s="174"/>
      <c r="S45" s="174">
        <v>2735.565</v>
      </c>
      <c r="T45" s="293"/>
      <c r="U45" s="293"/>
      <c r="V45" s="293"/>
      <c r="W45" s="293"/>
      <c r="X45" s="174">
        <f>550.8-20.6</f>
        <v>530.1999999999999</v>
      </c>
      <c r="Y45" s="177">
        <f t="shared" si="0"/>
        <v>14795.677</v>
      </c>
      <c r="Z45" s="182"/>
      <c r="AA45" s="205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</row>
    <row r="46" spans="1:44" s="183" customFormat="1" ht="15.75" customHeight="1">
      <c r="A46" s="178" t="s">
        <v>121</v>
      </c>
      <c r="B46" s="173">
        <v>10389.4</v>
      </c>
      <c r="C46" s="174">
        <v>372.6</v>
      </c>
      <c r="D46" s="180">
        <v>1033</v>
      </c>
      <c r="E46" s="206">
        <v>116.3</v>
      </c>
      <c r="F46" s="180">
        <v>71</v>
      </c>
      <c r="G46" s="180">
        <v>0</v>
      </c>
      <c r="H46" s="180">
        <v>0</v>
      </c>
      <c r="I46" s="180">
        <v>24.4</v>
      </c>
      <c r="J46" s="180">
        <v>20.9</v>
      </c>
      <c r="K46" s="180">
        <f>81.5+12</f>
        <v>93.5</v>
      </c>
      <c r="L46" s="359">
        <v>1121.431</v>
      </c>
      <c r="M46" s="174"/>
      <c r="N46" s="174"/>
      <c r="O46" s="174"/>
      <c r="P46" s="174"/>
      <c r="Q46" s="293"/>
      <c r="R46" s="174"/>
      <c r="S46" s="174">
        <v>156.62</v>
      </c>
      <c r="T46" s="293"/>
      <c r="U46" s="293"/>
      <c r="V46" s="293"/>
      <c r="W46" s="293"/>
      <c r="X46" s="174">
        <f>839.8-31.5</f>
        <v>808.3</v>
      </c>
      <c r="Y46" s="177">
        <f t="shared" si="0"/>
        <v>14091.151</v>
      </c>
      <c r="Z46" s="182"/>
      <c r="AA46" s="205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</row>
    <row r="47" spans="1:44" s="183" customFormat="1" ht="15.75" customHeight="1">
      <c r="A47" s="178" t="s">
        <v>122</v>
      </c>
      <c r="B47" s="173">
        <v>43302.5</v>
      </c>
      <c r="C47" s="174">
        <v>2975.9</v>
      </c>
      <c r="D47" s="180">
        <v>829.5</v>
      </c>
      <c r="E47" s="206">
        <v>518.5</v>
      </c>
      <c r="F47" s="180">
        <v>223.6</v>
      </c>
      <c r="G47" s="180">
        <v>0</v>
      </c>
      <c r="H47" s="180">
        <v>0</v>
      </c>
      <c r="I47" s="180">
        <v>213.5</v>
      </c>
      <c r="J47" s="180">
        <v>81.4</v>
      </c>
      <c r="K47" s="180">
        <f>125.4+11</f>
        <v>136.4</v>
      </c>
      <c r="L47" s="359">
        <v>1967.361</v>
      </c>
      <c r="M47" s="174"/>
      <c r="N47" s="174"/>
      <c r="O47" s="174"/>
      <c r="P47" s="174"/>
      <c r="Q47" s="293"/>
      <c r="R47" s="174"/>
      <c r="S47" s="174">
        <v>4493.905</v>
      </c>
      <c r="T47" s="293"/>
      <c r="U47" s="293"/>
      <c r="V47" s="293"/>
      <c r="W47" s="293"/>
      <c r="X47" s="174">
        <f>1553.8-58.2+481.3+877.4</f>
        <v>2854.2999999999997</v>
      </c>
      <c r="Y47" s="177">
        <f t="shared" si="0"/>
        <v>57078.366</v>
      </c>
      <c r="Z47" s="182"/>
      <c r="AA47" s="205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</row>
    <row r="48" spans="1:44" s="183" customFormat="1" ht="15.75" customHeight="1">
      <c r="A48" s="178" t="s">
        <v>123</v>
      </c>
      <c r="B48" s="173">
        <v>16444</v>
      </c>
      <c r="C48" s="174">
        <v>690.4</v>
      </c>
      <c r="D48" s="180">
        <v>300.9</v>
      </c>
      <c r="E48" s="206">
        <v>398.5</v>
      </c>
      <c r="F48" s="180">
        <v>265.9</v>
      </c>
      <c r="G48" s="180">
        <v>0</v>
      </c>
      <c r="H48" s="180">
        <v>0</v>
      </c>
      <c r="I48" s="180">
        <v>80.6</v>
      </c>
      <c r="J48" s="180">
        <v>52</v>
      </c>
      <c r="K48" s="180">
        <f>95+6</f>
        <v>101</v>
      </c>
      <c r="L48" s="359">
        <v>1037.421</v>
      </c>
      <c r="M48" s="174"/>
      <c r="N48" s="174"/>
      <c r="O48" s="174"/>
      <c r="P48" s="174"/>
      <c r="Q48" s="293"/>
      <c r="R48" s="174"/>
      <c r="S48" s="174">
        <v>3809.686</v>
      </c>
      <c r="T48" s="293"/>
      <c r="U48" s="293"/>
      <c r="V48" s="293"/>
      <c r="W48" s="293"/>
      <c r="X48" s="174">
        <f>1015.3-38+100.1</f>
        <v>1077.3999999999999</v>
      </c>
      <c r="Y48" s="177">
        <f t="shared" si="0"/>
        <v>23859.307</v>
      </c>
      <c r="Z48" s="182"/>
      <c r="AA48" s="205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</row>
    <row r="49" spans="1:44" s="183" customFormat="1" ht="15.75" customHeight="1">
      <c r="A49" s="178" t="s">
        <v>124</v>
      </c>
      <c r="B49" s="173">
        <v>10772.8</v>
      </c>
      <c r="C49" s="174">
        <v>660.78</v>
      </c>
      <c r="D49" s="180">
        <v>292.6</v>
      </c>
      <c r="E49" s="206">
        <v>303.4</v>
      </c>
      <c r="F49" s="180">
        <v>177.9</v>
      </c>
      <c r="G49" s="180">
        <v>0</v>
      </c>
      <c r="H49" s="180">
        <v>0</v>
      </c>
      <c r="I49" s="180">
        <v>66.9</v>
      </c>
      <c r="J49" s="180">
        <v>58.6</v>
      </c>
      <c r="K49" s="181">
        <f>120.5+6.3</f>
        <v>126.8</v>
      </c>
      <c r="L49" s="359">
        <v>705.961</v>
      </c>
      <c r="M49" s="174"/>
      <c r="N49" s="174"/>
      <c r="O49" s="174"/>
      <c r="P49" s="174"/>
      <c r="Q49" s="293"/>
      <c r="R49" s="174"/>
      <c r="S49" s="174">
        <v>3557.915</v>
      </c>
      <c r="T49" s="293"/>
      <c r="U49" s="293"/>
      <c r="V49" s="293"/>
      <c r="W49" s="293"/>
      <c r="X49" s="174">
        <f>1050.5-39.3+55</f>
        <v>1066.2</v>
      </c>
      <c r="Y49" s="177">
        <f t="shared" si="0"/>
        <v>17486.456</v>
      </c>
      <c r="Z49" s="182"/>
      <c r="AA49" s="205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</row>
    <row r="50" spans="1:44" s="183" customFormat="1" ht="15.75" customHeight="1">
      <c r="A50" s="178" t="s">
        <v>125</v>
      </c>
      <c r="B50" s="173">
        <v>18251.7</v>
      </c>
      <c r="C50" s="174">
        <v>404.2</v>
      </c>
      <c r="D50" s="180">
        <v>662.6</v>
      </c>
      <c r="E50" s="206">
        <v>195</v>
      </c>
      <c r="F50" s="180">
        <v>158.4</v>
      </c>
      <c r="G50" s="180">
        <v>0</v>
      </c>
      <c r="H50" s="180">
        <v>0</v>
      </c>
      <c r="I50" s="180">
        <v>19.3</v>
      </c>
      <c r="J50" s="180">
        <v>17.3</v>
      </c>
      <c r="K50" s="181">
        <f>508.5+4</f>
        <v>512.5</v>
      </c>
      <c r="L50" s="359">
        <v>1086.627</v>
      </c>
      <c r="M50" s="174"/>
      <c r="N50" s="174">
        <v>70</v>
      </c>
      <c r="O50" s="174"/>
      <c r="P50" s="174"/>
      <c r="Q50" s="293"/>
      <c r="R50" s="174"/>
      <c r="S50" s="174">
        <v>1166.961</v>
      </c>
      <c r="T50" s="293"/>
      <c r="U50" s="293"/>
      <c r="V50" s="293"/>
      <c r="W50" s="293"/>
      <c r="X50" s="174">
        <f>767.2-28.7+260.4+1360.5</f>
        <v>2359.4</v>
      </c>
      <c r="Y50" s="177">
        <f>X50+V50+U50+T50+S50+R50+M50+L50+K50+E50+D50+C50+B50+N50</f>
        <v>24708.988</v>
      </c>
      <c r="Z50" s="182"/>
      <c r="AA50" s="205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</row>
    <row r="51" spans="1:44" s="183" customFormat="1" ht="15.75" customHeight="1">
      <c r="A51" s="178" t="s">
        <v>126</v>
      </c>
      <c r="B51" s="173">
        <v>24731.1</v>
      </c>
      <c r="C51" s="174">
        <v>2227.12</v>
      </c>
      <c r="D51" s="180">
        <v>576.2</v>
      </c>
      <c r="E51" s="206">
        <v>441</v>
      </c>
      <c r="F51" s="180">
        <v>245.7</v>
      </c>
      <c r="G51" s="180">
        <v>0</v>
      </c>
      <c r="H51" s="180">
        <v>0</v>
      </c>
      <c r="I51" s="180">
        <v>182</v>
      </c>
      <c r="J51" s="180">
        <v>13.3</v>
      </c>
      <c r="K51" s="181">
        <f>179.8+3</f>
        <v>182.8</v>
      </c>
      <c r="L51" s="359">
        <v>1235.01</v>
      </c>
      <c r="M51" s="174"/>
      <c r="N51" s="174"/>
      <c r="O51" s="174"/>
      <c r="P51" s="174"/>
      <c r="Q51" s="293"/>
      <c r="R51" s="174"/>
      <c r="S51" s="174">
        <v>2641.765</v>
      </c>
      <c r="T51" s="293"/>
      <c r="U51" s="293"/>
      <c r="V51" s="293"/>
      <c r="W51" s="293"/>
      <c r="X51" s="174">
        <f>870.7-32.6+71.9</f>
        <v>910</v>
      </c>
      <c r="Y51" s="177">
        <f t="shared" si="0"/>
        <v>32944.994999999995</v>
      </c>
      <c r="Z51" s="182"/>
      <c r="AA51" s="205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</row>
    <row r="52" spans="1:44" s="183" customFormat="1" ht="15.75" customHeight="1">
      <c r="A52" s="178" t="s">
        <v>127</v>
      </c>
      <c r="B52" s="173">
        <v>15505.7</v>
      </c>
      <c r="C52" s="174">
        <v>512.27</v>
      </c>
      <c r="D52" s="180">
        <v>806.8</v>
      </c>
      <c r="E52" s="206">
        <v>191.4</v>
      </c>
      <c r="F52" s="180">
        <v>95.3</v>
      </c>
      <c r="G52" s="180">
        <v>0</v>
      </c>
      <c r="H52" s="180">
        <v>0</v>
      </c>
      <c r="I52" s="180">
        <v>74.9</v>
      </c>
      <c r="J52" s="180">
        <v>21.2</v>
      </c>
      <c r="K52" s="181">
        <f>167.3+5</f>
        <v>172.3</v>
      </c>
      <c r="L52" s="359">
        <v>1055.362</v>
      </c>
      <c r="M52" s="174"/>
      <c r="N52" s="174"/>
      <c r="O52" s="174"/>
      <c r="P52" s="174"/>
      <c r="Q52" s="293"/>
      <c r="R52" s="174"/>
      <c r="S52" s="174">
        <v>821.765</v>
      </c>
      <c r="T52" s="293"/>
      <c r="U52" s="293"/>
      <c r="V52" s="293"/>
      <c r="W52" s="293"/>
      <c r="X52" s="174">
        <f>781.7-29.3+718+260.5</f>
        <v>1730.9</v>
      </c>
      <c r="Y52" s="177">
        <f t="shared" si="0"/>
        <v>20796.497000000003</v>
      </c>
      <c r="Z52" s="182"/>
      <c r="AA52" s="205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</row>
    <row r="53" spans="1:44" s="183" customFormat="1" ht="15.75" customHeight="1">
      <c r="A53" s="178" t="s">
        <v>128</v>
      </c>
      <c r="B53" s="173">
        <v>8109.5</v>
      </c>
      <c r="C53" s="174">
        <v>219.1</v>
      </c>
      <c r="D53" s="180">
        <v>294.7</v>
      </c>
      <c r="E53" s="206">
        <v>90.1</v>
      </c>
      <c r="F53" s="180">
        <v>45.1</v>
      </c>
      <c r="G53" s="180">
        <v>0</v>
      </c>
      <c r="H53" s="180">
        <v>0</v>
      </c>
      <c r="I53" s="180">
        <v>14.6</v>
      </c>
      <c r="J53" s="180">
        <v>30.4</v>
      </c>
      <c r="K53" s="181">
        <f>120.4+5</f>
        <v>125.4</v>
      </c>
      <c r="L53" s="359">
        <v>884.655</v>
      </c>
      <c r="M53" s="174"/>
      <c r="N53" s="174"/>
      <c r="O53" s="174"/>
      <c r="P53" s="174"/>
      <c r="Q53" s="293"/>
      <c r="R53" s="174"/>
      <c r="S53" s="174">
        <v>435.155</v>
      </c>
      <c r="T53" s="293"/>
      <c r="U53" s="293"/>
      <c r="V53" s="293"/>
      <c r="W53" s="293"/>
      <c r="X53" s="174">
        <f>642.2-24.1+2103.4+1536.6</f>
        <v>4258.1</v>
      </c>
      <c r="Y53" s="177">
        <f t="shared" si="0"/>
        <v>14416.71</v>
      </c>
      <c r="Z53" s="182"/>
      <c r="AA53" s="205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</row>
    <row r="54" spans="1:44" s="183" customFormat="1" ht="15.75" customHeight="1">
      <c r="A54" s="178" t="s">
        <v>129</v>
      </c>
      <c r="B54" s="173">
        <v>12197.2</v>
      </c>
      <c r="C54" s="184">
        <v>431.62</v>
      </c>
      <c r="D54" s="180">
        <v>352.8</v>
      </c>
      <c r="E54" s="206">
        <v>170.3</v>
      </c>
      <c r="F54" s="180">
        <v>121.9</v>
      </c>
      <c r="G54" s="180">
        <v>0</v>
      </c>
      <c r="H54" s="180">
        <v>0</v>
      </c>
      <c r="I54" s="180">
        <v>25.3</v>
      </c>
      <c r="J54" s="180">
        <v>23.1</v>
      </c>
      <c r="K54" s="181">
        <f>81.5+5</f>
        <v>86.5</v>
      </c>
      <c r="L54" s="359">
        <v>862.157</v>
      </c>
      <c r="M54" s="174"/>
      <c r="N54" s="174"/>
      <c r="O54" s="174"/>
      <c r="P54" s="174"/>
      <c r="Q54" s="293"/>
      <c r="R54" s="174"/>
      <c r="S54" s="174">
        <v>1022.355</v>
      </c>
      <c r="T54" s="293"/>
      <c r="U54" s="293"/>
      <c r="V54" s="293"/>
      <c r="W54" s="293"/>
      <c r="X54" s="174">
        <f>616.5-23.1</f>
        <v>593.4</v>
      </c>
      <c r="Y54" s="177">
        <f t="shared" si="0"/>
        <v>15716.332000000002</v>
      </c>
      <c r="Z54" s="182"/>
      <c r="AA54" s="205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</row>
    <row r="55" spans="1:44" s="183" customFormat="1" ht="15.75" customHeight="1" thickBot="1">
      <c r="A55" s="185" t="s">
        <v>130</v>
      </c>
      <c r="B55" s="184"/>
      <c r="C55" s="184"/>
      <c r="D55" s="184"/>
      <c r="E55" s="375"/>
      <c r="F55" s="375"/>
      <c r="G55" s="375"/>
      <c r="H55" s="375"/>
      <c r="I55" s="375"/>
      <c r="J55" s="375"/>
      <c r="K55" s="184"/>
      <c r="L55" s="360">
        <v>5006.601</v>
      </c>
      <c r="M55" s="184"/>
      <c r="N55" s="184"/>
      <c r="O55" s="184">
        <f>8010-8010+8010</f>
        <v>8010</v>
      </c>
      <c r="P55" s="184">
        <v>3000</v>
      </c>
      <c r="Q55" s="184">
        <v>7780.4</v>
      </c>
      <c r="R55" s="184">
        <f>29100-3000</f>
        <v>26100</v>
      </c>
      <c r="S55" s="184"/>
      <c r="T55" s="297">
        <v>631.109</v>
      </c>
      <c r="U55" s="184">
        <f>40000-40000</f>
        <v>0</v>
      </c>
      <c r="V55" s="184">
        <v>40000</v>
      </c>
      <c r="W55" s="184">
        <v>450000</v>
      </c>
      <c r="X55" s="174">
        <f>45810-45810+13000-13000</f>
        <v>0</v>
      </c>
      <c r="Y55" s="177">
        <f>X55+V55+U55+T55+S55+R55+M55+L55+K55+E55+D55+C55+B55+O55+P55+Q55+W55</f>
        <v>540528.11</v>
      </c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</row>
    <row r="56" spans="1:44" s="183" customFormat="1" ht="15.75" customHeight="1" thickBot="1">
      <c r="A56" s="186" t="s">
        <v>131</v>
      </c>
      <c r="B56" s="187">
        <f aca="true" t="shared" si="1" ref="B56:X56">SUM(B10:B55)</f>
        <v>1827876.8</v>
      </c>
      <c r="C56" s="187">
        <f t="shared" si="1"/>
        <v>190838.2</v>
      </c>
      <c r="D56" s="187">
        <f t="shared" si="1"/>
        <v>53299.60000000001</v>
      </c>
      <c r="E56" s="376">
        <f t="shared" si="1"/>
        <v>179074.69999999992</v>
      </c>
      <c r="F56" s="376">
        <f t="shared" si="1"/>
        <v>149059.10000000003</v>
      </c>
      <c r="G56" s="376">
        <f t="shared" si="1"/>
        <v>7124.6</v>
      </c>
      <c r="H56" s="376">
        <f t="shared" si="1"/>
        <v>3325.2</v>
      </c>
      <c r="I56" s="376">
        <f t="shared" si="1"/>
        <v>13880.400000000001</v>
      </c>
      <c r="J56" s="376">
        <f t="shared" si="1"/>
        <v>5685.399999999997</v>
      </c>
      <c r="K56" s="187">
        <f t="shared" si="1"/>
        <v>13516.899999999992</v>
      </c>
      <c r="L56" s="348">
        <f t="shared" si="1"/>
        <v>65346.4</v>
      </c>
      <c r="M56" s="187">
        <f t="shared" si="1"/>
        <v>1625</v>
      </c>
      <c r="N56" s="187">
        <f t="shared" si="1"/>
        <v>70</v>
      </c>
      <c r="O56" s="187">
        <f t="shared" si="1"/>
        <v>8010</v>
      </c>
      <c r="P56" s="187">
        <f t="shared" si="1"/>
        <v>3000</v>
      </c>
      <c r="Q56" s="187">
        <f t="shared" si="1"/>
        <v>7780.4</v>
      </c>
      <c r="R56" s="187">
        <f t="shared" si="1"/>
        <v>26100</v>
      </c>
      <c r="S56" s="187">
        <f t="shared" si="1"/>
        <v>405376.80000000005</v>
      </c>
      <c r="T56" s="348">
        <f t="shared" si="1"/>
        <v>9052.1</v>
      </c>
      <c r="U56" s="187">
        <f t="shared" si="1"/>
        <v>2000</v>
      </c>
      <c r="V56" s="187">
        <f t="shared" si="1"/>
        <v>40000</v>
      </c>
      <c r="W56" s="187">
        <f>W55</f>
        <v>450000</v>
      </c>
      <c r="X56" s="187">
        <f t="shared" si="1"/>
        <v>60401.900000000016</v>
      </c>
      <c r="Y56" s="187">
        <f>SUM(Y10:Y55)</f>
        <v>3343368.8</v>
      </c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</row>
    <row r="57" spans="2:44" ht="15.75">
      <c r="B57" s="29"/>
      <c r="C57" s="28"/>
      <c r="E57" s="28"/>
      <c r="Y57" s="361">
        <f>Y56-X56</f>
        <v>3282966.9</v>
      </c>
      <c r="Z57" s="362" t="s">
        <v>450</v>
      </c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</row>
    <row r="58" spans="2:44" ht="15.75">
      <c r="B58" s="3">
        <f>'№1'!C48</f>
        <v>1827876.8</v>
      </c>
      <c r="C58" s="3">
        <f>'№1'!C49</f>
        <v>190838.2</v>
      </c>
      <c r="D58" s="3">
        <f>'№1'!C51</f>
        <v>53299.59999999999</v>
      </c>
      <c r="E58" s="3">
        <f>'№1'!C50</f>
        <v>179074.7</v>
      </c>
      <c r="K58" s="3">
        <f>'№1'!C59</f>
        <v>13516.9</v>
      </c>
      <c r="L58" s="3">
        <f>'№1'!C63</f>
        <v>65346.4</v>
      </c>
      <c r="M58" s="3">
        <f>'№1'!C60</f>
        <v>1625</v>
      </c>
      <c r="Q58" s="3">
        <f>'№1'!C53</f>
        <v>7780.4</v>
      </c>
      <c r="R58" s="3">
        <f>'№1'!C56</f>
        <v>26100</v>
      </c>
      <c r="S58" s="3">
        <f>'№1'!D49</f>
        <v>405376.8</v>
      </c>
      <c r="T58" s="3">
        <f>'№1'!D55</f>
        <v>9052.1</v>
      </c>
      <c r="U58" s="3">
        <f>'№1'!D56</f>
        <v>2000</v>
      </c>
      <c r="V58" s="3">
        <f>'№1'!D53</f>
        <v>40000</v>
      </c>
      <c r="X58" s="3">
        <f>'№1'!C45</f>
        <v>60401.9</v>
      </c>
      <c r="Y58" s="188">
        <f>Y57-'№1'!G46</f>
        <v>0</v>
      </c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</row>
    <row r="59" spans="2:44" ht="15.75">
      <c r="B59" s="28">
        <f>B58-B56</f>
        <v>0</v>
      </c>
      <c r="C59" s="28">
        <f>C58-C56</f>
        <v>0</v>
      </c>
      <c r="D59" s="28">
        <f>D58-D56</f>
        <v>0</v>
      </c>
      <c r="E59" s="28">
        <f>E58-E56</f>
        <v>0</v>
      </c>
      <c r="F59" s="28"/>
      <c r="G59" s="28"/>
      <c r="K59" s="28">
        <f>K58-K56</f>
        <v>0</v>
      </c>
      <c r="L59" s="28">
        <f>L58-L56</f>
        <v>0</v>
      </c>
      <c r="M59" s="28">
        <f>M58-M56</f>
        <v>0</v>
      </c>
      <c r="N59" s="28"/>
      <c r="O59" s="28">
        <f aca="true" t="shared" si="2" ref="O59:X59">O58-O56</f>
        <v>-8010</v>
      </c>
      <c r="P59" s="28"/>
      <c r="Q59" s="28">
        <f t="shared" si="2"/>
        <v>0</v>
      </c>
      <c r="R59" s="28">
        <f t="shared" si="2"/>
        <v>0</v>
      </c>
      <c r="S59" s="28">
        <f t="shared" si="2"/>
        <v>0</v>
      </c>
      <c r="T59" s="28">
        <f t="shared" si="2"/>
        <v>0</v>
      </c>
      <c r="U59" s="28">
        <f t="shared" si="2"/>
        <v>0</v>
      </c>
      <c r="V59" s="28">
        <f t="shared" si="2"/>
        <v>0</v>
      </c>
      <c r="W59" s="28"/>
      <c r="X59" s="28">
        <f t="shared" si="2"/>
        <v>0</v>
      </c>
      <c r="Y59" s="20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</row>
    <row r="60" spans="13:44" ht="15.75">
      <c r="M60" s="28"/>
      <c r="N60" s="28"/>
      <c r="Q60" s="319"/>
      <c r="T60" s="349">
        <f>T55-'[2]№4'!$Q$55</f>
        <v>-5792.161</v>
      </c>
      <c r="U60" s="319"/>
      <c r="V60" s="319"/>
      <c r="W60" s="319"/>
      <c r="X60" s="7"/>
      <c r="Y60" s="20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</row>
    <row r="61" spans="2:44" ht="15.75">
      <c r="B61" s="369">
        <f>B35*1000</f>
        <v>48571600</v>
      </c>
      <c r="C61" s="369">
        <f aca="true" t="shared" si="3" ref="C61:Y61">C35*1000</f>
        <v>6488100</v>
      </c>
      <c r="D61" s="369">
        <f t="shared" si="3"/>
        <v>991700</v>
      </c>
      <c r="E61" s="369">
        <f t="shared" si="3"/>
        <v>3130800</v>
      </c>
      <c r="F61" s="369">
        <f t="shared" si="3"/>
        <v>2732900</v>
      </c>
      <c r="G61" s="369">
        <f t="shared" si="3"/>
        <v>0</v>
      </c>
      <c r="H61" s="369">
        <f t="shared" si="3"/>
        <v>0</v>
      </c>
      <c r="I61" s="369">
        <f t="shared" si="3"/>
        <v>311200</v>
      </c>
      <c r="J61" s="369">
        <f t="shared" si="3"/>
        <v>86700</v>
      </c>
      <c r="K61" s="369">
        <f t="shared" si="3"/>
        <v>615800</v>
      </c>
      <c r="L61" s="369">
        <f t="shared" si="3"/>
        <v>1313963</v>
      </c>
      <c r="M61" s="369">
        <f t="shared" si="3"/>
        <v>0</v>
      </c>
      <c r="N61" s="369"/>
      <c r="O61" s="369">
        <f t="shared" si="3"/>
        <v>0</v>
      </c>
      <c r="P61" s="369"/>
      <c r="Q61" s="369">
        <f>Q35*1000</f>
        <v>0</v>
      </c>
      <c r="R61" s="369">
        <f t="shared" si="3"/>
        <v>0</v>
      </c>
      <c r="S61" s="369">
        <f>S35*1000</f>
        <v>14894185</v>
      </c>
      <c r="T61" s="369">
        <f t="shared" si="3"/>
        <v>479552</v>
      </c>
      <c r="U61" s="369">
        <f t="shared" si="3"/>
        <v>0</v>
      </c>
      <c r="V61" s="369">
        <f t="shared" si="3"/>
        <v>0</v>
      </c>
      <c r="W61" s="369"/>
      <c r="X61" s="369">
        <f t="shared" si="3"/>
        <v>334700</v>
      </c>
      <c r="Y61" s="369">
        <f t="shared" si="3"/>
        <v>76820400</v>
      </c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</row>
    <row r="62" spans="3:44" ht="15.75">
      <c r="C62" s="28">
        <f>C63-C56</f>
        <v>14522</v>
      </c>
      <c r="S62" s="28">
        <f>S63-S56</f>
        <v>30265.699999999953</v>
      </c>
      <c r="X62" s="143"/>
      <c r="Y62" s="20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</row>
    <row r="63" spans="3:44" ht="15.75">
      <c r="C63" s="3">
        <v>205360.2</v>
      </c>
      <c r="S63" s="3">
        <v>435642.5</v>
      </c>
      <c r="X63" s="7"/>
      <c r="Y63" s="20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</row>
    <row r="64" spans="4:44" ht="15.75">
      <c r="D64" s="28"/>
      <c r="X64" s="146"/>
      <c r="Y64" s="20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</row>
    <row r="65" spans="24:44" ht="15.75">
      <c r="X65" s="143"/>
      <c r="Y65" s="20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</row>
    <row r="66" spans="24:44" ht="15.75">
      <c r="X66" s="7"/>
      <c r="Y66" s="20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</row>
    <row r="67" spans="24:44" ht="15.75">
      <c r="X67" s="7"/>
      <c r="Y67" s="20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</row>
    <row r="68" spans="24:44" ht="15.75">
      <c r="X68" s="7"/>
      <c r="Y68" s="20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</row>
    <row r="69" spans="24:44" ht="15.75">
      <c r="X69" s="7"/>
      <c r="Y69" s="20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</row>
    <row r="70" spans="24:44" ht="15.75">
      <c r="X70" s="7"/>
      <c r="Y70" s="20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</row>
    <row r="71" spans="25:44" ht="15.75">
      <c r="Y71" s="188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</row>
    <row r="72" spans="25:44" ht="15.75">
      <c r="Y72" s="188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</row>
    <row r="73" spans="25:44" ht="15.75">
      <c r="Y73" s="188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</row>
    <row r="74" spans="25:44" ht="15.75">
      <c r="Y74" s="188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</row>
    <row r="75" spans="25:44" ht="15.75">
      <c r="Y75" s="188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</row>
    <row r="76" spans="25:44" ht="15.75">
      <c r="Y76" s="188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</row>
    <row r="77" spans="25:44" ht="15.75">
      <c r="Y77" s="188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</row>
    <row r="78" spans="25:44" ht="15.75">
      <c r="Y78" s="188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2"/>
      <c r="AQ78" s="182"/>
      <c r="AR78" s="182"/>
    </row>
    <row r="79" spans="25:44" ht="15.75">
      <c r="Y79" s="188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</row>
    <row r="80" spans="25:44" ht="15.75">
      <c r="Y80" s="188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  <c r="AN80" s="182"/>
      <c r="AO80" s="182"/>
      <c r="AP80" s="182"/>
      <c r="AQ80" s="182"/>
      <c r="AR80" s="182"/>
    </row>
    <row r="81" spans="25:44" ht="15.75">
      <c r="Y81" s="188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</row>
    <row r="82" spans="25:44" ht="15.75">
      <c r="Y82" s="188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</row>
    <row r="83" spans="25:44" ht="15.75">
      <c r="Y83" s="188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2"/>
    </row>
    <row r="84" spans="25:44" ht="15.75">
      <c r="Y84" s="188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2"/>
    </row>
    <row r="85" spans="25:44" ht="15.75">
      <c r="Y85" s="188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</row>
    <row r="86" spans="25:44" ht="15.75">
      <c r="Y86" s="188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</row>
    <row r="87" spans="25:44" ht="15.75">
      <c r="Y87" s="188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2"/>
    </row>
    <row r="88" spans="25:44" ht="15.75">
      <c r="Y88" s="188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  <c r="AL88" s="182"/>
      <c r="AM88" s="182"/>
      <c r="AN88" s="182"/>
      <c r="AO88" s="182"/>
      <c r="AP88" s="182"/>
      <c r="AQ88" s="182"/>
      <c r="AR88" s="182"/>
    </row>
    <row r="89" spans="25:44" ht="15.75">
      <c r="Y89" s="188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</row>
    <row r="90" spans="25:44" ht="15.75">
      <c r="Y90" s="188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</row>
    <row r="91" spans="25:44" ht="15.75">
      <c r="Y91" s="188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</row>
    <row r="92" spans="25:44" ht="15.75">
      <c r="Y92" s="188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</row>
    <row r="93" spans="25:44" ht="15.75">
      <c r="Y93" s="188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</row>
    <row r="94" spans="25:44" ht="15.75">
      <c r="Y94" s="188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</row>
    <row r="95" spans="25:44" ht="15.75">
      <c r="Y95" s="188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</row>
    <row r="96" spans="25:44" ht="15.75">
      <c r="Y96" s="188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</row>
    <row r="97" spans="25:44" ht="15.75">
      <c r="Y97" s="188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</row>
    <row r="98" spans="25:44" ht="15.75">
      <c r="Y98" s="188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</row>
    <row r="99" spans="25:44" ht="15.75">
      <c r="Y99" s="188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</row>
    <row r="100" spans="25:44" ht="15.75">
      <c r="Y100" s="188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  <c r="AK100" s="182"/>
      <c r="AL100" s="182"/>
      <c r="AM100" s="182"/>
      <c r="AN100" s="182"/>
      <c r="AO100" s="182"/>
      <c r="AP100" s="182"/>
      <c r="AQ100" s="182"/>
      <c r="AR100" s="182"/>
    </row>
    <row r="101" spans="25:44" ht="15.75">
      <c r="Y101" s="188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</row>
    <row r="102" spans="25:44" ht="15.75">
      <c r="Y102" s="188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</row>
    <row r="103" spans="25:44" ht="15.75">
      <c r="Y103" s="188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</row>
    <row r="104" spans="25:44" ht="15.75">
      <c r="Y104" s="188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</row>
    <row r="105" spans="25:44" ht="15.75">
      <c r="Y105" s="188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</row>
    <row r="106" spans="25:44" ht="15.75">
      <c r="Y106" s="188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  <c r="AK106" s="182"/>
      <c r="AL106" s="182"/>
      <c r="AM106" s="182"/>
      <c r="AN106" s="182"/>
      <c r="AO106" s="182"/>
      <c r="AP106" s="182"/>
      <c r="AQ106" s="182"/>
      <c r="AR106" s="182"/>
    </row>
    <row r="107" spans="25:44" ht="15.75">
      <c r="Y107" s="188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  <c r="AK107" s="182"/>
      <c r="AL107" s="182"/>
      <c r="AM107" s="182"/>
      <c r="AN107" s="182"/>
      <c r="AO107" s="182"/>
      <c r="AP107" s="182"/>
      <c r="AQ107" s="182"/>
      <c r="AR107" s="182"/>
    </row>
    <row r="108" spans="25:44" ht="15.75">
      <c r="Y108" s="188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  <c r="AK108" s="182"/>
      <c r="AL108" s="182"/>
      <c r="AM108" s="182"/>
      <c r="AN108" s="182"/>
      <c r="AO108" s="182"/>
      <c r="AP108" s="182"/>
      <c r="AQ108" s="182"/>
      <c r="AR108" s="182"/>
    </row>
    <row r="109" spans="25:44" ht="15.75">
      <c r="Y109" s="188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  <c r="AK109" s="182"/>
      <c r="AL109" s="182"/>
      <c r="AM109" s="182"/>
      <c r="AN109" s="182"/>
      <c r="AO109" s="182"/>
      <c r="AP109" s="182"/>
      <c r="AQ109" s="182"/>
      <c r="AR109" s="182"/>
    </row>
    <row r="110" spans="25:44" ht="15.75">
      <c r="Y110" s="188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2"/>
    </row>
    <row r="111" spans="25:44" ht="15.75">
      <c r="Y111" s="188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2"/>
    </row>
    <row r="112" spans="25:44" ht="15.75">
      <c r="Y112" s="188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2"/>
    </row>
    <row r="113" spans="25:44" ht="15.75">
      <c r="Y113" s="188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</row>
    <row r="114" spans="25:44" ht="15.75">
      <c r="Y114" s="188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</row>
    <row r="115" spans="25:44" ht="15.75">
      <c r="Y115" s="188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</row>
    <row r="116" spans="25:44" ht="15.75">
      <c r="Y116" s="188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</row>
    <row r="117" spans="25:44" ht="15.75">
      <c r="Y117" s="188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</row>
    <row r="118" spans="25:44" ht="15.75">
      <c r="Y118" s="188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</row>
    <row r="119" spans="25:44" ht="15.75">
      <c r="Y119" s="188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</row>
    <row r="120" spans="25:44" ht="15.75">
      <c r="Y120" s="188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</row>
    <row r="121" spans="25:44" ht="15.75">
      <c r="Y121" s="188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</row>
    <row r="122" spans="25:44" ht="15.75">
      <c r="Y122" s="188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</row>
    <row r="123" spans="25:44" ht="15.75">
      <c r="Y123" s="188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  <c r="AK123" s="182"/>
      <c r="AL123" s="182"/>
      <c r="AM123" s="182"/>
      <c r="AN123" s="182"/>
      <c r="AO123" s="182"/>
      <c r="AP123" s="182"/>
      <c r="AQ123" s="182"/>
      <c r="AR123" s="182"/>
    </row>
    <row r="124" spans="25:44" ht="15.75">
      <c r="Y124" s="188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  <c r="AK124" s="182"/>
      <c r="AL124" s="182"/>
      <c r="AM124" s="182"/>
      <c r="AN124" s="182"/>
      <c r="AO124" s="182"/>
      <c r="AP124" s="182"/>
      <c r="AQ124" s="182"/>
      <c r="AR124" s="182"/>
    </row>
    <row r="125" spans="25:44" ht="15.75">
      <c r="Y125" s="188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</row>
    <row r="126" spans="25:44" ht="15.75">
      <c r="Y126" s="188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  <c r="AK126" s="182"/>
      <c r="AL126" s="182"/>
      <c r="AM126" s="182"/>
      <c r="AN126" s="182"/>
      <c r="AO126" s="182"/>
      <c r="AP126" s="182"/>
      <c r="AQ126" s="182"/>
      <c r="AR126" s="182"/>
    </row>
    <row r="127" spans="25:44" ht="15.75">
      <c r="Y127" s="188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  <c r="AK127" s="182"/>
      <c r="AL127" s="182"/>
      <c r="AM127" s="182"/>
      <c r="AN127" s="182"/>
      <c r="AO127" s="182"/>
      <c r="AP127" s="182"/>
      <c r="AQ127" s="182"/>
      <c r="AR127" s="182"/>
    </row>
    <row r="128" spans="25:44" ht="15.75">
      <c r="Y128" s="188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</row>
    <row r="129" spans="25:44" ht="15.75">
      <c r="Y129" s="188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</row>
    <row r="130" spans="25:44" ht="15.75">
      <c r="Y130" s="188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</row>
    <row r="131" spans="25:44" ht="15.75">
      <c r="Y131" s="188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</row>
    <row r="132" spans="25:44" ht="15.75">
      <c r="Y132" s="188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</row>
    <row r="133" spans="25:44" ht="15.75">
      <c r="Y133" s="188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</row>
    <row r="134" spans="25:44" ht="15.75">
      <c r="Y134" s="188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</row>
    <row r="135" spans="25:44" ht="15.75">
      <c r="Y135" s="188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</row>
    <row r="136" spans="25:44" ht="15.75">
      <c r="Y136" s="188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</row>
    <row r="137" spans="25:44" ht="15.75">
      <c r="Y137" s="188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</row>
    <row r="138" spans="25:44" ht="15.75">
      <c r="Y138" s="188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</row>
    <row r="139" spans="25:44" ht="15.75">
      <c r="Y139" s="188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</row>
    <row r="140" spans="25:44" ht="15.75">
      <c r="Y140" s="188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</row>
    <row r="141" spans="25:44" ht="15.75">
      <c r="Y141" s="188"/>
      <c r="Z141" s="182"/>
      <c r="AA141" s="182"/>
      <c r="AB141" s="182"/>
      <c r="AC141" s="182"/>
      <c r="AD141" s="182"/>
      <c r="AE141" s="182"/>
      <c r="AF141" s="182"/>
      <c r="AG141" s="182"/>
      <c r="AH141" s="182"/>
      <c r="AI141" s="182"/>
      <c r="AJ141" s="182"/>
      <c r="AK141" s="182"/>
      <c r="AL141" s="182"/>
      <c r="AM141" s="182"/>
      <c r="AN141" s="182"/>
      <c r="AO141" s="182"/>
      <c r="AP141" s="182"/>
      <c r="AQ141" s="182"/>
      <c r="AR141" s="182"/>
    </row>
    <row r="142" spans="25:44" ht="15.75">
      <c r="Y142" s="188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</row>
    <row r="143" spans="25:44" ht="15.75">
      <c r="Y143" s="188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</row>
    <row r="144" spans="25:44" ht="15.75">
      <c r="Y144" s="188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</row>
    <row r="145" spans="25:44" ht="15.75">
      <c r="Y145" s="188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</row>
    <row r="146" spans="25:44" ht="15.75">
      <c r="Y146" s="188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</row>
    <row r="147" spans="25:44" ht="15.75">
      <c r="Y147" s="188"/>
      <c r="Z147" s="182"/>
      <c r="AA147" s="182"/>
      <c r="AB147" s="182"/>
      <c r="AC147" s="182"/>
      <c r="AD147" s="182"/>
      <c r="AE147" s="182"/>
      <c r="AF147" s="182"/>
      <c r="AG147" s="182"/>
      <c r="AH147" s="182"/>
      <c r="AI147" s="182"/>
      <c r="AJ147" s="182"/>
      <c r="AK147" s="182"/>
      <c r="AL147" s="182"/>
      <c r="AM147" s="182"/>
      <c r="AN147" s="182"/>
      <c r="AO147" s="182"/>
      <c r="AP147" s="182"/>
      <c r="AQ147" s="182"/>
      <c r="AR147" s="182"/>
    </row>
    <row r="148" spans="25:44" ht="15.75">
      <c r="Y148" s="188"/>
      <c r="Z148" s="182"/>
      <c r="AA148" s="182"/>
      <c r="AB148" s="182"/>
      <c r="AC148" s="182"/>
      <c r="AD148" s="182"/>
      <c r="AE148" s="182"/>
      <c r="AF148" s="182"/>
      <c r="AG148" s="182"/>
      <c r="AH148" s="182"/>
      <c r="AI148" s="182"/>
      <c r="AJ148" s="182"/>
      <c r="AK148" s="182"/>
      <c r="AL148" s="182"/>
      <c r="AM148" s="182"/>
      <c r="AN148" s="182"/>
      <c r="AO148" s="182"/>
      <c r="AP148" s="182"/>
      <c r="AQ148" s="182"/>
      <c r="AR148" s="182"/>
    </row>
    <row r="149" spans="25:44" ht="15.75">
      <c r="Y149" s="188"/>
      <c r="Z149" s="182"/>
      <c r="AA149" s="182"/>
      <c r="AB149" s="182"/>
      <c r="AC149" s="182"/>
      <c r="AD149" s="182"/>
      <c r="AE149" s="182"/>
      <c r="AF149" s="182"/>
      <c r="AG149" s="182"/>
      <c r="AH149" s="182"/>
      <c r="AI149" s="182"/>
      <c r="AJ149" s="182"/>
      <c r="AK149" s="182"/>
      <c r="AL149" s="182"/>
      <c r="AM149" s="182"/>
      <c r="AN149" s="182"/>
      <c r="AO149" s="182"/>
      <c r="AP149" s="182"/>
      <c r="AQ149" s="182"/>
      <c r="AR149" s="182"/>
    </row>
    <row r="150" spans="25:44" ht="15.75">
      <c r="Y150" s="188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</row>
    <row r="151" spans="25:44" ht="15.75">
      <c r="Y151" s="188"/>
      <c r="Z151" s="182"/>
      <c r="AA151" s="182"/>
      <c r="AB151" s="182"/>
      <c r="AC151" s="182"/>
      <c r="AD151" s="182"/>
      <c r="AE151" s="182"/>
      <c r="AF151" s="182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</row>
    <row r="152" spans="25:44" ht="15.75">
      <c r="Y152" s="188"/>
      <c r="Z152" s="182"/>
      <c r="AA152" s="182"/>
      <c r="AB152" s="182"/>
      <c r="AC152" s="182"/>
      <c r="AD152" s="182"/>
      <c r="AE152" s="182"/>
      <c r="AF152" s="182"/>
      <c r="AG152" s="182"/>
      <c r="AH152" s="182"/>
      <c r="AI152" s="182"/>
      <c r="AJ152" s="182"/>
      <c r="AK152" s="182"/>
      <c r="AL152" s="182"/>
      <c r="AM152" s="182"/>
      <c r="AN152" s="182"/>
      <c r="AO152" s="182"/>
      <c r="AP152" s="182"/>
      <c r="AQ152" s="182"/>
      <c r="AR152" s="182"/>
    </row>
    <row r="153" spans="25:44" ht="15.75">
      <c r="Y153" s="188"/>
      <c r="Z153" s="182"/>
      <c r="AA153" s="182"/>
      <c r="AB153" s="182"/>
      <c r="AC153" s="182"/>
      <c r="AD153" s="182"/>
      <c r="AE153" s="182"/>
      <c r="AF153" s="182"/>
      <c r="AG153" s="182"/>
      <c r="AH153" s="182"/>
      <c r="AI153" s="182"/>
      <c r="AJ153" s="182"/>
      <c r="AK153" s="182"/>
      <c r="AL153" s="182"/>
      <c r="AM153" s="182"/>
      <c r="AN153" s="182"/>
      <c r="AO153" s="182"/>
      <c r="AP153" s="182"/>
      <c r="AQ153" s="182"/>
      <c r="AR153" s="182"/>
    </row>
    <row r="154" spans="25:44" ht="15.75">
      <c r="Y154" s="188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</row>
    <row r="155" spans="25:44" ht="15.75">
      <c r="Y155" s="188"/>
      <c r="Z155" s="182"/>
      <c r="AA155" s="182"/>
      <c r="AB155" s="182"/>
      <c r="AC155" s="182"/>
      <c r="AD155" s="182"/>
      <c r="AE155" s="182"/>
      <c r="AF155" s="182"/>
      <c r="AG155" s="182"/>
      <c r="AH155" s="182"/>
      <c r="AI155" s="182"/>
      <c r="AJ155" s="182"/>
      <c r="AK155" s="182"/>
      <c r="AL155" s="182"/>
      <c r="AM155" s="182"/>
      <c r="AN155" s="182"/>
      <c r="AO155" s="182"/>
      <c r="AP155" s="182"/>
      <c r="AQ155" s="182"/>
      <c r="AR155" s="182"/>
    </row>
    <row r="156" spans="25:44" ht="15.75">
      <c r="Y156" s="188"/>
      <c r="Z156" s="182"/>
      <c r="AA156" s="182"/>
      <c r="AB156" s="182"/>
      <c r="AC156" s="182"/>
      <c r="AD156" s="182"/>
      <c r="AE156" s="182"/>
      <c r="AF156" s="182"/>
      <c r="AG156" s="182"/>
      <c r="AH156" s="182"/>
      <c r="AI156" s="182"/>
      <c r="AJ156" s="182"/>
      <c r="AK156" s="182"/>
      <c r="AL156" s="182"/>
      <c r="AM156" s="182"/>
      <c r="AN156" s="182"/>
      <c r="AO156" s="182"/>
      <c r="AP156" s="182"/>
      <c r="AQ156" s="182"/>
      <c r="AR156" s="182"/>
    </row>
    <row r="157" spans="25:44" ht="15.75">
      <c r="Y157" s="188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</row>
    <row r="158" spans="25:44" ht="15.75">
      <c r="Y158" s="188"/>
      <c r="Z158" s="182"/>
      <c r="AA158" s="182"/>
      <c r="AB158" s="182"/>
      <c r="AC158" s="182"/>
      <c r="AD158" s="182"/>
      <c r="AE158" s="182"/>
      <c r="AF158" s="182"/>
      <c r="AG158" s="182"/>
      <c r="AH158" s="182"/>
      <c r="AI158" s="182"/>
      <c r="AJ158" s="182"/>
      <c r="AK158" s="182"/>
      <c r="AL158" s="182"/>
      <c r="AM158" s="182"/>
      <c r="AN158" s="182"/>
      <c r="AO158" s="182"/>
      <c r="AP158" s="182"/>
      <c r="AQ158" s="182"/>
      <c r="AR158" s="182"/>
    </row>
    <row r="159" spans="25:44" ht="15.75">
      <c r="Y159" s="188"/>
      <c r="Z159" s="182"/>
      <c r="AA159" s="182"/>
      <c r="AB159" s="182"/>
      <c r="AC159" s="182"/>
      <c r="AD159" s="182"/>
      <c r="AE159" s="182"/>
      <c r="AF159" s="182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</row>
    <row r="160" spans="25:44" ht="15.75">
      <c r="Y160" s="188"/>
      <c r="Z160" s="182"/>
      <c r="AA160" s="182"/>
      <c r="AB160" s="182"/>
      <c r="AC160" s="182"/>
      <c r="AD160" s="182"/>
      <c r="AE160" s="182"/>
      <c r="AF160" s="182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</row>
    <row r="161" spans="25:44" ht="15.75">
      <c r="Y161" s="188"/>
      <c r="Z161" s="182"/>
      <c r="AA161" s="182"/>
      <c r="AB161" s="182"/>
      <c r="AC161" s="182"/>
      <c r="AD161" s="182"/>
      <c r="AE161" s="182"/>
      <c r="AF161" s="182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</row>
    <row r="162" spans="25:44" ht="15.75">
      <c r="Y162" s="188"/>
      <c r="Z162" s="182"/>
      <c r="AA162" s="182"/>
      <c r="AB162" s="182"/>
      <c r="AC162" s="182"/>
      <c r="AD162" s="182"/>
      <c r="AE162" s="182"/>
      <c r="AF162" s="182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</row>
    <row r="163" spans="25:44" ht="15.75">
      <c r="Y163" s="188"/>
      <c r="Z163" s="182"/>
      <c r="AA163" s="182"/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</row>
    <row r="164" spans="25:44" ht="15.75">
      <c r="Y164" s="188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</row>
    <row r="165" spans="25:44" ht="15.75">
      <c r="Y165" s="188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</row>
    <row r="166" spans="25:44" ht="15.75">
      <c r="Y166" s="188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</row>
    <row r="167" spans="25:44" ht="15.75">
      <c r="Y167" s="188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</row>
    <row r="168" spans="25:44" ht="15.75">
      <c r="Y168" s="188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</row>
    <row r="169" spans="25:44" ht="15.75">
      <c r="Y169" s="188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</row>
    <row r="170" spans="25:44" ht="15.75">
      <c r="Y170" s="188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</row>
    <row r="171" spans="25:44" ht="15.75">
      <c r="Y171" s="188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</row>
    <row r="172" spans="25:44" ht="15.75">
      <c r="Y172" s="188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</row>
    <row r="173" spans="25:44" ht="15.75">
      <c r="Y173" s="188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</row>
    <row r="174" spans="25:44" ht="15.75">
      <c r="Y174" s="188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</row>
    <row r="175" spans="25:44" ht="15.75">
      <c r="Y175" s="188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</row>
    <row r="176" spans="25:44" ht="15.75">
      <c r="Y176" s="188"/>
      <c r="Z176" s="182"/>
      <c r="AA176" s="182"/>
      <c r="AB176" s="182"/>
      <c r="AC176" s="182"/>
      <c r="AD176" s="182"/>
      <c r="AE176" s="182"/>
      <c r="AF176" s="182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</row>
    <row r="177" spans="25:44" ht="15.75">
      <c r="Y177" s="188"/>
      <c r="Z177" s="182"/>
      <c r="AA177" s="182"/>
      <c r="AB177" s="182"/>
      <c r="AC177" s="182"/>
      <c r="AD177" s="182"/>
      <c r="AE177" s="182"/>
      <c r="AF177" s="182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</row>
    <row r="178" spans="25:44" ht="15.75">
      <c r="Y178" s="188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</row>
    <row r="179" spans="25:44" ht="15.75">
      <c r="Y179" s="188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</row>
    <row r="180" spans="25:44" ht="15.75">
      <c r="Y180" s="188"/>
      <c r="Z180" s="182"/>
      <c r="AA180" s="182"/>
      <c r="AB180" s="182"/>
      <c r="AC180" s="182"/>
      <c r="AD180" s="182"/>
      <c r="AE180" s="182"/>
      <c r="AF180" s="182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</row>
    <row r="181" spans="25:44" ht="15.75">
      <c r="Y181" s="188"/>
      <c r="Z181" s="182"/>
      <c r="AA181" s="182"/>
      <c r="AB181" s="182"/>
      <c r="AC181" s="182"/>
      <c r="AD181" s="182"/>
      <c r="AE181" s="182"/>
      <c r="AF181" s="182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</row>
    <row r="182" spans="25:44" ht="15.75">
      <c r="Y182" s="188"/>
      <c r="Z182" s="182"/>
      <c r="AA182" s="182"/>
      <c r="AB182" s="182"/>
      <c r="AC182" s="182"/>
      <c r="AD182" s="182"/>
      <c r="AE182" s="182"/>
      <c r="AF182" s="182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</row>
    <row r="183" spans="25:44" ht="15.75">
      <c r="Y183" s="188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</row>
    <row r="184" spans="25:44" ht="15.75">
      <c r="Y184" s="188"/>
      <c r="Z184" s="182"/>
      <c r="AA184" s="182"/>
      <c r="AB184" s="182"/>
      <c r="AC184" s="182"/>
      <c r="AD184" s="182"/>
      <c r="AE184" s="182"/>
      <c r="AF184" s="182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</row>
    <row r="185" spans="25:44" ht="15.75">
      <c r="Y185" s="188"/>
      <c r="Z185" s="182"/>
      <c r="AA185" s="182"/>
      <c r="AB185" s="182"/>
      <c r="AC185" s="182"/>
      <c r="AD185" s="182"/>
      <c r="AE185" s="182"/>
      <c r="AF185" s="182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82"/>
      <c r="AR185" s="182"/>
    </row>
  </sheetData>
  <mergeCells count="28">
    <mergeCell ref="B4:K4"/>
    <mergeCell ref="B6:M6"/>
    <mergeCell ref="X6:X9"/>
    <mergeCell ref="F7:J7"/>
    <mergeCell ref="K7:K9"/>
    <mergeCell ref="G8:H8"/>
    <mergeCell ref="I8:I9"/>
    <mergeCell ref="J8:J9"/>
    <mergeCell ref="E7:E9"/>
    <mergeCell ref="V7:V9"/>
    <mergeCell ref="F8:F9"/>
    <mergeCell ref="A6:A9"/>
    <mergeCell ref="B7:B9"/>
    <mergeCell ref="C7:C9"/>
    <mergeCell ref="D7:D9"/>
    <mergeCell ref="N7:N9"/>
    <mergeCell ref="P7:P9"/>
    <mergeCell ref="L7:L9"/>
    <mergeCell ref="M7:M9"/>
    <mergeCell ref="Y6:Y9"/>
    <mergeCell ref="T7:T9"/>
    <mergeCell ref="S7:S9"/>
    <mergeCell ref="O7:O9"/>
    <mergeCell ref="R7:R9"/>
    <mergeCell ref="U7:U9"/>
    <mergeCell ref="Q7:Q9"/>
    <mergeCell ref="W7:W9"/>
    <mergeCell ref="S6:W6"/>
  </mergeCells>
  <printOptions horizontalCentered="1" verticalCentered="1"/>
  <pageMargins left="0.7874015748031497" right="0.7874015748031497" top="1.1811023622047245" bottom="0.3937007874015748" header="0" footer="0"/>
  <pageSetup fitToWidth="2" horizontalDpi="600" verticalDpi="600" orientation="landscape" paperSize="9" scale="42" r:id="rId1"/>
  <colBreaks count="1" manualBreakCount="1">
    <brk id="14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view="pageBreakPreview" zoomScale="75" zoomScaleNormal="80" zoomScaleSheetLayoutView="75" workbookViewId="0" topLeftCell="A1">
      <pane xSplit="1" ySplit="7" topLeftCell="B46" activePane="bottomRight" state="frozen"/>
      <selection pane="topLeft" activeCell="B57" sqref="B57"/>
      <selection pane="topRight" activeCell="B57" sqref="B57"/>
      <selection pane="bottomLeft" activeCell="B57" sqref="B57"/>
      <selection pane="bottomRight" activeCell="B6" sqref="B6:L6"/>
    </sheetView>
  </sheetViews>
  <sheetFormatPr defaultColWidth="9.00390625" defaultRowHeight="12.75"/>
  <cols>
    <col min="1" max="1" width="21.625" style="221" customWidth="1"/>
    <col min="2" max="2" width="13.25390625" style="221" customWidth="1"/>
    <col min="3" max="3" width="17.00390625" style="221" hidden="1" customWidth="1"/>
    <col min="4" max="4" width="14.875" style="221" customWidth="1"/>
    <col min="5" max="5" width="19.75390625" style="221" customWidth="1"/>
    <col min="6" max="6" width="12.125" style="221" customWidth="1"/>
    <col min="7" max="7" width="13.875" style="221" customWidth="1"/>
    <col min="8" max="8" width="16.125" style="221" customWidth="1"/>
    <col min="9" max="11" width="19.75390625" style="221" customWidth="1"/>
    <col min="12" max="12" width="20.375" style="221" customWidth="1"/>
    <col min="13" max="13" width="11.625" style="221" customWidth="1"/>
    <col min="14" max="14" width="15.875" style="221" customWidth="1"/>
    <col min="15" max="15" width="19.25390625" style="221" customWidth="1"/>
    <col min="16" max="16" width="17.75390625" style="221" customWidth="1"/>
    <col min="17" max="17" width="13.25390625" style="221" customWidth="1"/>
    <col min="18" max="18" width="17.75390625" style="221" hidden="1" customWidth="1"/>
    <col min="19" max="19" width="12.75390625" style="221" customWidth="1"/>
    <col min="20" max="20" width="17.75390625" style="221" customWidth="1"/>
    <col min="21" max="21" width="10.875" style="221" customWidth="1"/>
    <col min="22" max="22" width="15.25390625" style="221" hidden="1" customWidth="1"/>
    <col min="23" max="23" width="4.875" style="221" hidden="1" customWidth="1"/>
    <col min="24" max="24" width="14.00390625" style="221" hidden="1" customWidth="1"/>
    <col min="25" max="16384" width="8.875" style="221" customWidth="1"/>
  </cols>
  <sheetData>
    <row r="1" spans="4:25" ht="13.5" customHeight="1">
      <c r="D1" s="219"/>
      <c r="E1" s="219"/>
      <c r="G1" s="219"/>
      <c r="H1" s="219"/>
      <c r="I1" s="219" t="s">
        <v>132</v>
      </c>
      <c r="J1" s="219"/>
      <c r="K1" s="219"/>
      <c r="L1" s="219"/>
      <c r="N1" s="219"/>
      <c r="O1" s="219"/>
      <c r="P1" s="216"/>
      <c r="Q1" s="216"/>
      <c r="R1" s="216"/>
      <c r="S1" s="216"/>
      <c r="T1" s="216"/>
      <c r="U1" s="216"/>
      <c r="V1" s="216"/>
      <c r="W1" s="216"/>
      <c r="X1" s="216"/>
      <c r="Y1" s="216"/>
    </row>
    <row r="2" spans="4:25" ht="15.75">
      <c r="D2" s="219"/>
      <c r="E2" s="219"/>
      <c r="G2" s="219"/>
      <c r="H2" s="219"/>
      <c r="I2" s="219" t="s">
        <v>147</v>
      </c>
      <c r="J2" s="219"/>
      <c r="K2" s="219"/>
      <c r="L2" s="219"/>
      <c r="N2" s="219"/>
      <c r="O2" s="219"/>
      <c r="P2" s="216"/>
      <c r="Q2" s="216"/>
      <c r="R2" s="216"/>
      <c r="S2" s="216"/>
      <c r="T2" s="216"/>
      <c r="U2" s="216"/>
      <c r="V2" s="216"/>
      <c r="W2" s="216"/>
      <c r="X2" s="216"/>
      <c r="Y2" s="216"/>
    </row>
    <row r="3" spans="4:25" ht="15.75">
      <c r="D3" s="219"/>
      <c r="E3" s="219"/>
      <c r="G3" s="219"/>
      <c r="H3" s="219"/>
      <c r="I3" s="523" t="s">
        <v>61</v>
      </c>
      <c r="J3" s="219"/>
      <c r="K3" s="219"/>
      <c r="L3" s="219"/>
      <c r="N3" s="219"/>
      <c r="O3" s="219"/>
      <c r="P3" s="216"/>
      <c r="Q3" s="216"/>
      <c r="R3" s="216"/>
      <c r="S3" s="216"/>
      <c r="T3" s="216"/>
      <c r="U3" s="216"/>
      <c r="V3" s="216"/>
      <c r="W3" s="216"/>
      <c r="X3" s="216"/>
      <c r="Y3" s="216"/>
    </row>
    <row r="4" spans="1:26" ht="26.25" customHeight="1">
      <c r="A4" s="463" t="s">
        <v>410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4"/>
      <c r="Z4" s="224"/>
    </row>
    <row r="5" spans="1:26" ht="26.2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350" t="s">
        <v>15</v>
      </c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/>
      <c r="Z5" s="224"/>
    </row>
    <row r="6" spans="1:24" ht="27" customHeight="1" thickBot="1">
      <c r="A6" s="461" t="s">
        <v>77</v>
      </c>
      <c r="B6" s="468" t="s">
        <v>11</v>
      </c>
      <c r="C6" s="469"/>
      <c r="D6" s="469"/>
      <c r="E6" s="469"/>
      <c r="F6" s="469"/>
      <c r="G6" s="469"/>
      <c r="H6" s="469"/>
      <c r="I6" s="469"/>
      <c r="J6" s="469"/>
      <c r="K6" s="469"/>
      <c r="L6" s="470"/>
      <c r="M6" s="461" t="s">
        <v>411</v>
      </c>
      <c r="N6" s="466" t="s">
        <v>133</v>
      </c>
      <c r="X6" s="225"/>
    </row>
    <row r="7" spans="1:26" ht="204" customHeight="1">
      <c r="A7" s="465"/>
      <c r="B7" s="346" t="s">
        <v>429</v>
      </c>
      <c r="C7" s="346" t="s">
        <v>243</v>
      </c>
      <c r="D7" s="346" t="s">
        <v>302</v>
      </c>
      <c r="E7" s="347" t="s">
        <v>447</v>
      </c>
      <c r="F7" s="346" t="s">
        <v>260</v>
      </c>
      <c r="G7" s="346" t="s">
        <v>409</v>
      </c>
      <c r="H7" s="346" t="s">
        <v>421</v>
      </c>
      <c r="I7" s="346" t="s">
        <v>431</v>
      </c>
      <c r="J7" s="366" t="s">
        <v>454</v>
      </c>
      <c r="K7" s="366" t="s">
        <v>459</v>
      </c>
      <c r="L7" s="366" t="s">
        <v>461</v>
      </c>
      <c r="M7" s="462"/>
      <c r="N7" s="467"/>
      <c r="O7" s="220"/>
      <c r="P7" s="220"/>
      <c r="Q7" s="226"/>
      <c r="R7" s="227"/>
      <c r="S7" s="226"/>
      <c r="T7" s="228"/>
      <c r="U7" s="220"/>
      <c r="V7" s="229"/>
      <c r="W7" s="230"/>
      <c r="X7" s="231"/>
      <c r="Y7" s="464"/>
      <c r="Z7" s="464"/>
    </row>
    <row r="8" spans="1:24" ht="15.75">
      <c r="A8" s="232" t="s">
        <v>85</v>
      </c>
      <c r="B8" s="209">
        <v>1730.1</v>
      </c>
      <c r="C8" s="233"/>
      <c r="D8" s="233"/>
      <c r="E8" s="234"/>
      <c r="F8" s="233"/>
      <c r="G8" s="233">
        <v>47.045</v>
      </c>
      <c r="H8" s="291">
        <v>14.4</v>
      </c>
      <c r="I8" s="233"/>
      <c r="J8" s="233"/>
      <c r="K8" s="233"/>
      <c r="L8" s="234"/>
      <c r="M8" s="234"/>
      <c r="N8" s="265">
        <f>SUM(B8:M8)</f>
        <v>1791.545</v>
      </c>
      <c r="O8" s="190"/>
      <c r="P8" s="190"/>
      <c r="Q8" s="190"/>
      <c r="R8" s="190"/>
      <c r="S8" s="190"/>
      <c r="T8" s="191"/>
      <c r="U8" s="190"/>
      <c r="V8" s="235"/>
      <c r="W8" s="189"/>
      <c r="X8" s="192"/>
    </row>
    <row r="9" spans="1:24" ht="15.75">
      <c r="A9" s="236" t="s">
        <v>86</v>
      </c>
      <c r="B9" s="209"/>
      <c r="C9" s="233"/>
      <c r="D9" s="233"/>
      <c r="E9" s="234"/>
      <c r="F9" s="233">
        <v>3095.3</v>
      </c>
      <c r="G9" s="233">
        <v>291.507</v>
      </c>
      <c r="H9" s="291">
        <v>14.4</v>
      </c>
      <c r="I9" s="233"/>
      <c r="J9" s="233"/>
      <c r="K9" s="233"/>
      <c r="L9" s="234"/>
      <c r="M9" s="234"/>
      <c r="N9" s="265">
        <f aca="true" t="shared" si="0" ref="N9:N52">SUM(B9:M9)</f>
        <v>3401.2070000000003</v>
      </c>
      <c r="O9" s="237"/>
      <c r="P9" s="237"/>
      <c r="Q9" s="237"/>
      <c r="R9" s="237"/>
      <c r="S9" s="237"/>
      <c r="T9" s="191"/>
      <c r="U9" s="237"/>
      <c r="V9" s="235"/>
      <c r="W9" s="189"/>
      <c r="X9" s="200"/>
    </row>
    <row r="10" spans="1:24" ht="15.75">
      <c r="A10" s="236" t="s">
        <v>87</v>
      </c>
      <c r="B10" s="209">
        <v>1656.8</v>
      </c>
      <c r="C10" s="233"/>
      <c r="D10" s="233"/>
      <c r="E10" s="234">
        <v>355.9</v>
      </c>
      <c r="F10" s="233"/>
      <c r="G10" s="233">
        <v>193.815</v>
      </c>
      <c r="H10" s="291">
        <f>43.2+290</f>
        <v>333.2</v>
      </c>
      <c r="I10" s="233"/>
      <c r="J10" s="233"/>
      <c r="K10" s="233"/>
      <c r="L10" s="234"/>
      <c r="M10" s="234"/>
      <c r="N10" s="265">
        <f t="shared" si="0"/>
        <v>2539.7149999999997</v>
      </c>
      <c r="O10" s="193"/>
      <c r="P10" s="193"/>
      <c r="Q10" s="190"/>
      <c r="R10" s="190"/>
      <c r="S10" s="190"/>
      <c r="T10" s="191"/>
      <c r="U10" s="190"/>
      <c r="V10" s="235"/>
      <c r="W10" s="189"/>
      <c r="X10" s="192"/>
    </row>
    <row r="11" spans="1:24" ht="15.75">
      <c r="A11" s="236" t="s">
        <v>88</v>
      </c>
      <c r="B11" s="209"/>
      <c r="C11" s="233"/>
      <c r="D11" s="233"/>
      <c r="E11" s="234"/>
      <c r="F11" s="233"/>
      <c r="G11" s="233">
        <v>98.6</v>
      </c>
      <c r="H11" s="291">
        <v>14.4</v>
      </c>
      <c r="I11" s="233"/>
      <c r="J11" s="233"/>
      <c r="K11" s="233"/>
      <c r="L11" s="234"/>
      <c r="M11" s="234"/>
      <c r="N11" s="265">
        <f t="shared" si="0"/>
        <v>113</v>
      </c>
      <c r="O11" s="237"/>
      <c r="P11" s="237"/>
      <c r="Q11" s="237"/>
      <c r="R11" s="237"/>
      <c r="S11" s="237"/>
      <c r="T11" s="191"/>
      <c r="U11" s="237"/>
      <c r="V11" s="235"/>
      <c r="W11" s="189"/>
      <c r="X11" s="200"/>
    </row>
    <row r="12" spans="1:24" ht="15" customHeight="1">
      <c r="A12" s="236" t="s">
        <v>89</v>
      </c>
      <c r="B12" s="209">
        <v>1815.6</v>
      </c>
      <c r="C12" s="233"/>
      <c r="D12" s="233"/>
      <c r="E12" s="234">
        <v>346.8</v>
      </c>
      <c r="F12" s="233"/>
      <c r="G12" s="233">
        <v>148.602</v>
      </c>
      <c r="H12" s="291">
        <v>14.4</v>
      </c>
      <c r="I12" s="233"/>
      <c r="J12" s="233"/>
      <c r="K12" s="233"/>
      <c r="L12" s="234"/>
      <c r="M12" s="234"/>
      <c r="N12" s="265">
        <f t="shared" si="0"/>
        <v>2325.402</v>
      </c>
      <c r="O12" s="193"/>
      <c r="P12" s="193"/>
      <c r="Q12" s="190"/>
      <c r="R12" s="190"/>
      <c r="S12" s="190"/>
      <c r="T12" s="191"/>
      <c r="U12" s="190"/>
      <c r="V12" s="235"/>
      <c r="W12" s="189"/>
      <c r="X12" s="192"/>
    </row>
    <row r="13" spans="1:24" ht="15.75">
      <c r="A13" s="236" t="s">
        <v>90</v>
      </c>
      <c r="B13" s="209"/>
      <c r="C13" s="233"/>
      <c r="D13" s="233"/>
      <c r="E13" s="234"/>
      <c r="F13" s="233"/>
      <c r="G13" s="233">
        <v>50</v>
      </c>
      <c r="H13" s="291">
        <v>14.4</v>
      </c>
      <c r="I13" s="233">
        <v>15</v>
      </c>
      <c r="J13" s="233"/>
      <c r="K13" s="233"/>
      <c r="L13" s="234"/>
      <c r="M13" s="234"/>
      <c r="N13" s="265">
        <f t="shared" si="0"/>
        <v>79.4</v>
      </c>
      <c r="O13" s="237"/>
      <c r="P13" s="237"/>
      <c r="Q13" s="237"/>
      <c r="R13" s="237"/>
      <c r="S13" s="237"/>
      <c r="T13" s="191"/>
      <c r="U13" s="237"/>
      <c r="V13" s="235"/>
      <c r="W13" s="189"/>
      <c r="X13" s="200"/>
    </row>
    <row r="14" spans="1:24" ht="15.75">
      <c r="A14" s="236" t="s">
        <v>91</v>
      </c>
      <c r="B14" s="209">
        <v>1064.2</v>
      </c>
      <c r="C14" s="233"/>
      <c r="D14" s="291">
        <v>201.316</v>
      </c>
      <c r="E14" s="292"/>
      <c r="F14" s="233"/>
      <c r="G14" s="233">
        <v>109.765</v>
      </c>
      <c r="H14" s="291">
        <v>14.4</v>
      </c>
      <c r="I14" s="233">
        <v>15</v>
      </c>
      <c r="J14" s="233"/>
      <c r="K14" s="233"/>
      <c r="L14" s="234"/>
      <c r="M14" s="234"/>
      <c r="N14" s="265">
        <f t="shared" si="0"/>
        <v>1404.6810000000003</v>
      </c>
      <c r="O14" s="193"/>
      <c r="P14" s="193"/>
      <c r="Q14" s="190"/>
      <c r="R14" s="190"/>
      <c r="S14" s="190"/>
      <c r="T14" s="191"/>
      <c r="U14" s="190"/>
      <c r="V14" s="235"/>
      <c r="W14" s="189"/>
      <c r="X14" s="192"/>
    </row>
    <row r="15" spans="1:24" ht="15.75">
      <c r="A15" s="236" t="s">
        <v>92</v>
      </c>
      <c r="B15" s="209"/>
      <c r="C15" s="233"/>
      <c r="D15" s="233"/>
      <c r="E15" s="234"/>
      <c r="F15" s="233"/>
      <c r="G15" s="233">
        <v>89.733</v>
      </c>
      <c r="H15" s="291">
        <v>14.4</v>
      </c>
      <c r="I15" s="233"/>
      <c r="J15" s="233"/>
      <c r="K15" s="233"/>
      <c r="L15" s="234"/>
      <c r="M15" s="234"/>
      <c r="N15" s="265">
        <f t="shared" si="0"/>
        <v>104.13300000000001</v>
      </c>
      <c r="O15" s="237"/>
      <c r="P15" s="237"/>
      <c r="Q15" s="237"/>
      <c r="R15" s="237"/>
      <c r="S15" s="237"/>
      <c r="T15" s="191"/>
      <c r="U15" s="237"/>
      <c r="V15" s="235"/>
      <c r="W15" s="189"/>
      <c r="X15" s="200"/>
    </row>
    <row r="16" spans="1:24" ht="15" customHeight="1">
      <c r="A16" s="236" t="s">
        <v>93</v>
      </c>
      <c r="B16" s="209">
        <f>3352.3-88.2-5</f>
        <v>3259.1000000000004</v>
      </c>
      <c r="C16" s="233"/>
      <c r="D16" s="233"/>
      <c r="E16" s="234">
        <f>1964.6+200</f>
        <v>2164.6</v>
      </c>
      <c r="F16" s="233"/>
      <c r="G16" s="233">
        <f>125.211-9.9</f>
        <v>115.31099999999999</v>
      </c>
      <c r="H16" s="291">
        <f>93.6+3200</f>
        <v>3293.6</v>
      </c>
      <c r="I16" s="233"/>
      <c r="J16" s="233">
        <v>759.6</v>
      </c>
      <c r="K16" s="233"/>
      <c r="L16" s="234">
        <v>120</v>
      </c>
      <c r="M16" s="234"/>
      <c r="N16" s="265">
        <f t="shared" si="0"/>
        <v>9712.211000000001</v>
      </c>
      <c r="O16" s="193"/>
      <c r="P16" s="193"/>
      <c r="Q16" s="190"/>
      <c r="R16" s="190"/>
      <c r="S16" s="190"/>
      <c r="T16" s="191"/>
      <c r="U16" s="190"/>
      <c r="V16" s="235"/>
      <c r="W16" s="189"/>
      <c r="X16" s="192"/>
    </row>
    <row r="17" spans="1:24" ht="15.75">
      <c r="A17" s="236" t="s">
        <v>94</v>
      </c>
      <c r="B17" s="209"/>
      <c r="C17" s="233"/>
      <c r="D17" s="233"/>
      <c r="E17" s="234"/>
      <c r="F17" s="233"/>
      <c r="G17" s="233">
        <v>159.8</v>
      </c>
      <c r="H17" s="291">
        <v>14.4</v>
      </c>
      <c r="I17" s="233">
        <v>30</v>
      </c>
      <c r="J17" s="233"/>
      <c r="K17" s="233"/>
      <c r="L17" s="234"/>
      <c r="M17" s="234"/>
      <c r="N17" s="265">
        <f t="shared" si="0"/>
        <v>204.20000000000002</v>
      </c>
      <c r="O17" s="237"/>
      <c r="P17" s="237"/>
      <c r="Q17" s="237"/>
      <c r="R17" s="237"/>
      <c r="S17" s="237"/>
      <c r="T17" s="191"/>
      <c r="U17" s="237"/>
      <c r="V17" s="235"/>
      <c r="W17" s="189"/>
      <c r="X17" s="200"/>
    </row>
    <row r="18" spans="1:24" ht="15.75">
      <c r="A18" s="236" t="s">
        <v>95</v>
      </c>
      <c r="B18" s="209">
        <v>1314.9</v>
      </c>
      <c r="C18" s="233"/>
      <c r="D18" s="233"/>
      <c r="E18" s="234"/>
      <c r="F18" s="233"/>
      <c r="G18" s="233">
        <v>58.795</v>
      </c>
      <c r="H18" s="291">
        <f>14.4+380</f>
        <v>394.4</v>
      </c>
      <c r="I18" s="233">
        <v>45</v>
      </c>
      <c r="J18" s="233"/>
      <c r="K18" s="233"/>
      <c r="L18" s="234"/>
      <c r="M18" s="234"/>
      <c r="N18" s="265">
        <f t="shared" si="0"/>
        <v>1813.0950000000003</v>
      </c>
      <c r="O18" s="193"/>
      <c r="P18" s="193"/>
      <c r="Q18" s="190"/>
      <c r="R18" s="190"/>
      <c r="S18" s="190"/>
      <c r="T18" s="191"/>
      <c r="U18" s="190"/>
      <c r="V18" s="235"/>
      <c r="W18" s="189"/>
      <c r="X18" s="192"/>
    </row>
    <row r="19" spans="1:24" ht="15.75">
      <c r="A19" s="236" t="s">
        <v>96</v>
      </c>
      <c r="B19" s="209"/>
      <c r="C19" s="233"/>
      <c r="D19" s="233"/>
      <c r="E19" s="234"/>
      <c r="F19" s="233"/>
      <c r="G19" s="233">
        <v>67.59</v>
      </c>
      <c r="H19" s="291">
        <v>14.4</v>
      </c>
      <c r="I19" s="233">
        <v>15</v>
      </c>
      <c r="J19" s="233"/>
      <c r="K19" s="233"/>
      <c r="L19" s="234"/>
      <c r="M19" s="234"/>
      <c r="N19" s="265">
        <f t="shared" si="0"/>
        <v>96.99000000000001</v>
      </c>
      <c r="O19" s="237"/>
      <c r="P19" s="237"/>
      <c r="Q19" s="237"/>
      <c r="R19" s="237"/>
      <c r="S19" s="237"/>
      <c r="T19" s="191"/>
      <c r="U19" s="237"/>
      <c r="V19" s="235"/>
      <c r="W19" s="189"/>
      <c r="X19" s="200"/>
    </row>
    <row r="20" spans="1:24" ht="15.75">
      <c r="A20" s="236" t="s">
        <v>97</v>
      </c>
      <c r="B20" s="209"/>
      <c r="C20" s="233"/>
      <c r="D20" s="233"/>
      <c r="E20" s="234"/>
      <c r="F20" s="233"/>
      <c r="G20" s="233">
        <v>206.744</v>
      </c>
      <c r="H20" s="291">
        <v>14.4</v>
      </c>
      <c r="I20" s="233">
        <v>15</v>
      </c>
      <c r="J20" s="233"/>
      <c r="K20" s="233"/>
      <c r="L20" s="234"/>
      <c r="M20" s="234"/>
      <c r="N20" s="265">
        <f t="shared" si="0"/>
        <v>236.144</v>
      </c>
      <c r="O20" s="237"/>
      <c r="P20" s="237"/>
      <c r="Q20" s="237"/>
      <c r="R20" s="237"/>
      <c r="S20" s="237"/>
      <c r="T20" s="191"/>
      <c r="U20" s="237"/>
      <c r="V20" s="238"/>
      <c r="W20" s="189"/>
      <c r="X20" s="200"/>
    </row>
    <row r="21" spans="1:24" ht="15.75">
      <c r="A21" s="236" t="s">
        <v>98</v>
      </c>
      <c r="B21" s="209"/>
      <c r="C21" s="234"/>
      <c r="D21" s="234"/>
      <c r="E21" s="234"/>
      <c r="F21" s="234"/>
      <c r="G21" s="234">
        <v>189.3</v>
      </c>
      <c r="H21" s="291">
        <v>14.4</v>
      </c>
      <c r="I21" s="234"/>
      <c r="J21" s="234"/>
      <c r="K21" s="234"/>
      <c r="L21" s="234"/>
      <c r="M21" s="234"/>
      <c r="N21" s="265">
        <f t="shared" si="0"/>
        <v>203.70000000000002</v>
      </c>
      <c r="O21" s="191"/>
      <c r="P21" s="191"/>
      <c r="Q21" s="191"/>
      <c r="R21" s="191"/>
      <c r="S21" s="191"/>
      <c r="T21" s="191"/>
      <c r="U21" s="191"/>
      <c r="V21" s="239"/>
      <c r="W21" s="240"/>
      <c r="X21" s="200"/>
    </row>
    <row r="22" spans="1:24" ht="15.75">
      <c r="A22" s="236" t="s">
        <v>99</v>
      </c>
      <c r="B22" s="209">
        <v>1524</v>
      </c>
      <c r="C22" s="234"/>
      <c r="D22" s="234"/>
      <c r="E22" s="234"/>
      <c r="F22" s="234"/>
      <c r="G22" s="234">
        <v>123.165</v>
      </c>
      <c r="H22" s="291">
        <v>14.4</v>
      </c>
      <c r="I22" s="234"/>
      <c r="J22" s="234"/>
      <c r="K22" s="234"/>
      <c r="L22" s="234"/>
      <c r="M22" s="234"/>
      <c r="N22" s="265">
        <f t="shared" si="0"/>
        <v>1661.565</v>
      </c>
      <c r="O22" s="190"/>
      <c r="P22" s="190"/>
      <c r="Q22" s="190"/>
      <c r="R22" s="190"/>
      <c r="S22" s="190"/>
      <c r="T22" s="191"/>
      <c r="U22" s="190"/>
      <c r="V22" s="239"/>
      <c r="W22" s="240"/>
      <c r="X22" s="192"/>
    </row>
    <row r="23" spans="1:24" ht="15.75">
      <c r="A23" s="236" t="s">
        <v>100</v>
      </c>
      <c r="B23" s="209"/>
      <c r="C23" s="234"/>
      <c r="D23" s="234"/>
      <c r="E23" s="234">
        <v>332.7</v>
      </c>
      <c r="F23" s="234">
        <v>400</v>
      </c>
      <c r="G23" s="234">
        <v>234.78</v>
      </c>
      <c r="H23" s="291">
        <v>14.4</v>
      </c>
      <c r="I23" s="234"/>
      <c r="J23" s="234"/>
      <c r="K23" s="234"/>
      <c r="L23" s="234"/>
      <c r="M23" s="234"/>
      <c r="N23" s="265">
        <f t="shared" si="0"/>
        <v>981.88</v>
      </c>
      <c r="O23" s="191"/>
      <c r="P23" s="191"/>
      <c r="Q23" s="191"/>
      <c r="R23" s="191"/>
      <c r="S23" s="191"/>
      <c r="T23" s="191"/>
      <c r="U23" s="191"/>
      <c r="V23" s="239"/>
      <c r="W23" s="240"/>
      <c r="X23" s="200"/>
    </row>
    <row r="24" spans="1:24" ht="15.75">
      <c r="A24" s="236" t="s">
        <v>101</v>
      </c>
      <c r="B24" s="209">
        <f>1082.1+88.2</f>
        <v>1170.3</v>
      </c>
      <c r="C24" s="234"/>
      <c r="D24" s="292">
        <v>1.735</v>
      </c>
      <c r="E24" s="292"/>
      <c r="F24" s="234"/>
      <c r="G24" s="234">
        <v>92.048</v>
      </c>
      <c r="H24" s="291">
        <v>14.4</v>
      </c>
      <c r="I24" s="234"/>
      <c r="J24" s="234"/>
      <c r="K24" s="234">
        <v>16</v>
      </c>
      <c r="L24" s="234"/>
      <c r="M24" s="234">
        <v>22.1</v>
      </c>
      <c r="N24" s="265">
        <f t="shared" si="0"/>
        <v>1316.5829999999999</v>
      </c>
      <c r="O24" s="190"/>
      <c r="P24" s="190"/>
      <c r="Q24" s="190"/>
      <c r="R24" s="190"/>
      <c r="S24" s="190"/>
      <c r="T24" s="191"/>
      <c r="U24" s="190"/>
      <c r="V24" s="239"/>
      <c r="W24" s="240"/>
      <c r="X24" s="192"/>
    </row>
    <row r="25" spans="1:24" ht="15.75">
      <c r="A25" s="236" t="s">
        <v>102</v>
      </c>
      <c r="B25" s="209"/>
      <c r="C25" s="241"/>
      <c r="D25" s="241"/>
      <c r="E25" s="194"/>
      <c r="F25" s="241"/>
      <c r="G25" s="241">
        <v>161.665</v>
      </c>
      <c r="H25" s="372">
        <v>50.4</v>
      </c>
      <c r="I25" s="241"/>
      <c r="J25" s="241">
        <v>151.9</v>
      </c>
      <c r="K25" s="241"/>
      <c r="L25" s="194"/>
      <c r="M25" s="194"/>
      <c r="N25" s="265">
        <f t="shared" si="0"/>
        <v>363.96500000000003</v>
      </c>
      <c r="O25" s="242"/>
      <c r="P25" s="242"/>
      <c r="Q25" s="242"/>
      <c r="R25" s="242"/>
      <c r="S25" s="242"/>
      <c r="T25" s="243"/>
      <c r="U25" s="242"/>
      <c r="V25" s="244"/>
      <c r="W25" s="245"/>
      <c r="X25" s="200"/>
    </row>
    <row r="26" spans="1:24" ht="15.75">
      <c r="A26" s="236" t="s">
        <v>103</v>
      </c>
      <c r="B26" s="209"/>
      <c r="C26" s="194"/>
      <c r="D26" s="194"/>
      <c r="E26" s="194"/>
      <c r="F26" s="194"/>
      <c r="G26" s="194">
        <v>49.47</v>
      </c>
      <c r="H26" s="373">
        <v>57.6</v>
      </c>
      <c r="I26" s="194"/>
      <c r="J26" s="194"/>
      <c r="K26" s="194"/>
      <c r="L26" s="194"/>
      <c r="M26" s="194">
        <v>4.9</v>
      </c>
      <c r="N26" s="265">
        <f t="shared" si="0"/>
        <v>111.97</v>
      </c>
      <c r="O26" s="243"/>
      <c r="P26" s="243"/>
      <c r="Q26" s="243"/>
      <c r="R26" s="243"/>
      <c r="S26" s="243"/>
      <c r="T26" s="243"/>
      <c r="U26" s="243"/>
      <c r="V26" s="246"/>
      <c r="W26" s="247"/>
      <c r="X26" s="200"/>
    </row>
    <row r="27" spans="1:24" ht="15.75">
      <c r="A27" s="236" t="s">
        <v>104</v>
      </c>
      <c r="B27" s="209"/>
      <c r="C27" s="194"/>
      <c r="D27" s="194"/>
      <c r="E27" s="194"/>
      <c r="F27" s="194"/>
      <c r="G27" s="194">
        <v>147.987</v>
      </c>
      <c r="H27" s="373">
        <v>14.4</v>
      </c>
      <c r="I27" s="194">
        <v>15</v>
      </c>
      <c r="J27" s="194"/>
      <c r="K27" s="194"/>
      <c r="L27" s="194"/>
      <c r="M27" s="194"/>
      <c r="N27" s="265">
        <f>SUM(B27:M27)</f>
        <v>177.387</v>
      </c>
      <c r="O27" s="243"/>
      <c r="P27" s="243"/>
      <c r="Q27" s="243"/>
      <c r="R27" s="243"/>
      <c r="S27" s="243"/>
      <c r="T27" s="243"/>
      <c r="U27" s="243"/>
      <c r="V27" s="246"/>
      <c r="W27" s="247"/>
      <c r="X27" s="200"/>
    </row>
    <row r="28" spans="1:24" ht="15.75">
      <c r="A28" s="236" t="s">
        <v>105</v>
      </c>
      <c r="B28" s="209"/>
      <c r="C28" s="194"/>
      <c r="D28" s="194"/>
      <c r="E28" s="194"/>
      <c r="F28" s="194"/>
      <c r="G28" s="194">
        <v>129.784</v>
      </c>
      <c r="H28" s="373">
        <v>14.4</v>
      </c>
      <c r="I28" s="194">
        <v>45</v>
      </c>
      <c r="J28" s="194"/>
      <c r="K28" s="194"/>
      <c r="L28" s="194"/>
      <c r="M28" s="194"/>
      <c r="N28" s="265">
        <f t="shared" si="0"/>
        <v>189.184</v>
      </c>
      <c r="O28" s="243"/>
      <c r="P28" s="243"/>
      <c r="Q28" s="243"/>
      <c r="R28" s="243"/>
      <c r="S28" s="243"/>
      <c r="T28" s="243"/>
      <c r="U28" s="243"/>
      <c r="V28" s="246"/>
      <c r="W28" s="247"/>
      <c r="X28" s="200"/>
    </row>
    <row r="29" spans="1:24" ht="15.75">
      <c r="A29" s="236" t="s">
        <v>106</v>
      </c>
      <c r="B29" s="209">
        <v>1677.9</v>
      </c>
      <c r="C29" s="194"/>
      <c r="D29" s="194"/>
      <c r="E29" s="194"/>
      <c r="F29" s="194"/>
      <c r="G29" s="194">
        <v>102.876</v>
      </c>
      <c r="H29" s="373">
        <v>14.4</v>
      </c>
      <c r="I29" s="194"/>
      <c r="J29" s="194"/>
      <c r="K29" s="194"/>
      <c r="L29" s="194"/>
      <c r="M29" s="194">
        <v>19.8</v>
      </c>
      <c r="N29" s="265">
        <f t="shared" si="0"/>
        <v>1814.976</v>
      </c>
      <c r="O29" s="195"/>
      <c r="P29" s="195"/>
      <c r="Q29" s="190"/>
      <c r="R29" s="190"/>
      <c r="S29" s="190"/>
      <c r="T29" s="191"/>
      <c r="U29" s="190"/>
      <c r="V29" s="248"/>
      <c r="W29" s="247"/>
      <c r="X29" s="192"/>
    </row>
    <row r="30" spans="1:24" ht="15.75">
      <c r="A30" s="236" t="s">
        <v>107</v>
      </c>
      <c r="B30" s="209"/>
      <c r="C30" s="174"/>
      <c r="D30" s="174"/>
      <c r="E30" s="174"/>
      <c r="F30" s="174"/>
      <c r="G30" s="174">
        <v>77.861</v>
      </c>
      <c r="H30" s="373">
        <f>14.4+250</f>
        <v>264.4</v>
      </c>
      <c r="I30" s="174">
        <v>30</v>
      </c>
      <c r="J30" s="174"/>
      <c r="K30" s="174"/>
      <c r="L30" s="174"/>
      <c r="M30" s="174"/>
      <c r="N30" s="265">
        <f t="shared" si="0"/>
        <v>372.26099999999997</v>
      </c>
      <c r="O30" s="249"/>
      <c r="P30" s="249"/>
      <c r="Q30" s="249"/>
      <c r="R30" s="249"/>
      <c r="S30" s="249"/>
      <c r="T30" s="249"/>
      <c r="U30" s="249"/>
      <c r="V30" s="250"/>
      <c r="W30" s="251"/>
      <c r="X30" s="200"/>
    </row>
    <row r="31" spans="1:24" ht="15.75">
      <c r="A31" s="236" t="s">
        <v>108</v>
      </c>
      <c r="B31" s="209"/>
      <c r="C31" s="252"/>
      <c r="D31" s="252"/>
      <c r="E31" s="318"/>
      <c r="F31" s="196"/>
      <c r="G31" s="196">
        <v>30</v>
      </c>
      <c r="H31" s="373">
        <v>14.4</v>
      </c>
      <c r="I31" s="196"/>
      <c r="J31" s="196"/>
      <c r="K31" s="196"/>
      <c r="L31" s="174"/>
      <c r="M31" s="174"/>
      <c r="N31" s="265">
        <f t="shared" si="0"/>
        <v>44.4</v>
      </c>
      <c r="O31" s="201"/>
      <c r="P31" s="201"/>
      <c r="Q31" s="201"/>
      <c r="R31" s="201"/>
      <c r="S31" s="201"/>
      <c r="T31" s="202"/>
      <c r="U31" s="201"/>
      <c r="V31" s="253"/>
      <c r="W31" s="254"/>
      <c r="X31" s="200"/>
    </row>
    <row r="32" spans="1:24" ht="15.75">
      <c r="A32" s="236" t="s">
        <v>109</v>
      </c>
      <c r="B32" s="209"/>
      <c r="C32" s="196"/>
      <c r="D32" s="196"/>
      <c r="E32" s="174"/>
      <c r="F32" s="196"/>
      <c r="G32" s="196">
        <v>192.462</v>
      </c>
      <c r="H32" s="374">
        <v>7.2</v>
      </c>
      <c r="I32" s="196"/>
      <c r="J32" s="196"/>
      <c r="K32" s="196"/>
      <c r="L32" s="174"/>
      <c r="M32" s="174"/>
      <c r="N32" s="265">
        <f t="shared" si="0"/>
        <v>199.66199999999998</v>
      </c>
      <c r="O32" s="255"/>
      <c r="P32" s="255"/>
      <c r="Q32" s="255"/>
      <c r="R32" s="255"/>
      <c r="S32" s="255"/>
      <c r="T32" s="249"/>
      <c r="U32" s="255"/>
      <c r="V32" s="256"/>
      <c r="W32" s="257"/>
      <c r="X32" s="200"/>
    </row>
    <row r="33" spans="1:24" ht="15.75">
      <c r="A33" s="236" t="s">
        <v>134</v>
      </c>
      <c r="B33" s="209">
        <v>1103.8</v>
      </c>
      <c r="C33" s="196"/>
      <c r="D33" s="196"/>
      <c r="E33" s="174"/>
      <c r="F33" s="196"/>
      <c r="G33" s="196">
        <v>158.775</v>
      </c>
      <c r="H33" s="374">
        <f>28.8+295</f>
        <v>323.8</v>
      </c>
      <c r="I33" s="196"/>
      <c r="J33" s="196"/>
      <c r="K33" s="196"/>
      <c r="L33" s="174"/>
      <c r="M33" s="174"/>
      <c r="N33" s="265">
        <f t="shared" si="0"/>
        <v>1586.375</v>
      </c>
      <c r="O33" s="370">
        <f>N33-B33</f>
        <v>482.57500000000005</v>
      </c>
      <c r="P33" s="197">
        <f>O33*1000</f>
        <v>482575.00000000006</v>
      </c>
      <c r="Q33" s="190">
        <f>B33*1000</f>
        <v>1103800</v>
      </c>
      <c r="R33" s="190"/>
      <c r="S33" s="190"/>
      <c r="T33" s="191"/>
      <c r="U33" s="190"/>
      <c r="V33" s="256"/>
      <c r="W33" s="257"/>
      <c r="X33" s="192"/>
    </row>
    <row r="34" spans="1:24" ht="15.75">
      <c r="A34" s="236" t="s">
        <v>111</v>
      </c>
      <c r="B34" s="209">
        <f>931.7+5</f>
        <v>936.7</v>
      </c>
      <c r="C34" s="196"/>
      <c r="D34" s="196"/>
      <c r="E34" s="174"/>
      <c r="F34" s="196"/>
      <c r="G34" s="196">
        <v>58.5</v>
      </c>
      <c r="H34" s="374">
        <v>14.4</v>
      </c>
      <c r="I34" s="196">
        <v>30</v>
      </c>
      <c r="J34" s="196"/>
      <c r="K34" s="196"/>
      <c r="L34" s="174"/>
      <c r="M34" s="174"/>
      <c r="N34" s="265">
        <f t="shared" si="0"/>
        <v>1039.6</v>
      </c>
      <c r="O34" s="197"/>
      <c r="P34" s="197"/>
      <c r="Q34" s="190"/>
      <c r="R34" s="190"/>
      <c r="S34" s="190"/>
      <c r="T34" s="191"/>
      <c r="U34" s="190"/>
      <c r="V34" s="256"/>
      <c r="W34" s="257"/>
      <c r="X34" s="192"/>
    </row>
    <row r="35" spans="1:24" ht="15.75">
      <c r="A35" s="236" t="s">
        <v>112</v>
      </c>
      <c r="B35" s="209"/>
      <c r="C35" s="196"/>
      <c r="D35" s="196"/>
      <c r="E35" s="174"/>
      <c r="F35" s="196"/>
      <c r="G35" s="196">
        <v>50</v>
      </c>
      <c r="H35" s="374">
        <v>14.4</v>
      </c>
      <c r="I35" s="196"/>
      <c r="J35" s="196"/>
      <c r="K35" s="196"/>
      <c r="L35" s="174"/>
      <c r="M35" s="174"/>
      <c r="N35" s="265">
        <f t="shared" si="0"/>
        <v>64.4</v>
      </c>
      <c r="O35" s="255"/>
      <c r="P35" s="255"/>
      <c r="Q35" s="255"/>
      <c r="R35" s="255"/>
      <c r="S35" s="255"/>
      <c r="T35" s="249"/>
      <c r="U35" s="255"/>
      <c r="V35" s="256"/>
      <c r="W35" s="257"/>
      <c r="X35" s="200"/>
    </row>
    <row r="36" spans="1:24" ht="15.75">
      <c r="A36" s="236" t="s">
        <v>113</v>
      </c>
      <c r="B36" s="258"/>
      <c r="C36" s="196"/>
      <c r="D36" s="196"/>
      <c r="E36" s="174"/>
      <c r="F36" s="196"/>
      <c r="G36" s="196">
        <v>179.65</v>
      </c>
      <c r="H36" s="374">
        <v>14.4</v>
      </c>
      <c r="I36" s="196"/>
      <c r="J36" s="196"/>
      <c r="K36" s="196">
        <v>15</v>
      </c>
      <c r="L36" s="174"/>
      <c r="M36" s="174">
        <v>17.2</v>
      </c>
      <c r="N36" s="265">
        <f t="shared" si="0"/>
        <v>226.25</v>
      </c>
      <c r="O36" s="255"/>
      <c r="P36" s="255"/>
      <c r="Q36" s="255"/>
      <c r="R36" s="255"/>
      <c r="S36" s="255"/>
      <c r="T36" s="249"/>
      <c r="U36" s="255"/>
      <c r="V36" s="256"/>
      <c r="W36" s="257"/>
      <c r="X36" s="200"/>
    </row>
    <row r="37" spans="1:24" ht="15.75">
      <c r="A37" s="236" t="s">
        <v>114</v>
      </c>
      <c r="B37" s="209"/>
      <c r="C37" s="196"/>
      <c r="D37" s="196"/>
      <c r="E37" s="174"/>
      <c r="F37" s="196"/>
      <c r="G37" s="196">
        <f>154.237+18.7</f>
        <v>172.93699999999998</v>
      </c>
      <c r="H37" s="374">
        <v>14.4</v>
      </c>
      <c r="I37" s="196"/>
      <c r="J37" s="196"/>
      <c r="K37" s="196">
        <v>17.5</v>
      </c>
      <c r="L37" s="174"/>
      <c r="M37" s="174">
        <v>40</v>
      </c>
      <c r="N37" s="265">
        <f t="shared" si="0"/>
        <v>244.837</v>
      </c>
      <c r="O37" s="255"/>
      <c r="P37" s="255"/>
      <c r="Q37" s="255"/>
      <c r="R37" s="255"/>
      <c r="S37" s="255"/>
      <c r="T37" s="249"/>
      <c r="U37" s="255"/>
      <c r="V37" s="256"/>
      <c r="W37" s="257"/>
      <c r="X37" s="200"/>
    </row>
    <row r="38" spans="1:24" ht="15.75">
      <c r="A38" s="236" t="s">
        <v>115</v>
      </c>
      <c r="B38" s="209"/>
      <c r="C38" s="196"/>
      <c r="D38" s="196"/>
      <c r="E38" s="174"/>
      <c r="F38" s="196"/>
      <c r="G38" s="196">
        <v>211.913</v>
      </c>
      <c r="H38" s="374">
        <v>14.4</v>
      </c>
      <c r="I38" s="196"/>
      <c r="J38" s="196"/>
      <c r="K38" s="196">
        <v>20</v>
      </c>
      <c r="L38" s="174"/>
      <c r="M38" s="174">
        <v>45</v>
      </c>
      <c r="N38" s="265">
        <f t="shared" si="0"/>
        <v>291.313</v>
      </c>
      <c r="O38" s="255"/>
      <c r="P38" s="255"/>
      <c r="Q38" s="255"/>
      <c r="R38" s="255"/>
      <c r="S38" s="255"/>
      <c r="T38" s="249"/>
      <c r="U38" s="255"/>
      <c r="V38" s="256"/>
      <c r="W38" s="257"/>
      <c r="X38" s="200"/>
    </row>
    <row r="39" spans="1:24" ht="15.75">
      <c r="A39" s="236" t="s">
        <v>135</v>
      </c>
      <c r="B39" s="209">
        <v>1303.8</v>
      </c>
      <c r="C39" s="196"/>
      <c r="D39" s="293">
        <v>77.524</v>
      </c>
      <c r="E39" s="293"/>
      <c r="F39" s="196"/>
      <c r="G39" s="196">
        <v>287.988</v>
      </c>
      <c r="H39" s="374">
        <v>14.4</v>
      </c>
      <c r="I39" s="196"/>
      <c r="J39" s="196"/>
      <c r="K39" s="196">
        <v>21</v>
      </c>
      <c r="L39" s="174"/>
      <c r="M39" s="174">
        <v>34.5</v>
      </c>
      <c r="N39" s="265">
        <f t="shared" si="0"/>
        <v>1739.2120000000002</v>
      </c>
      <c r="O39" s="197"/>
      <c r="P39" s="197"/>
      <c r="Q39" s="190"/>
      <c r="R39" s="190"/>
      <c r="S39" s="190"/>
      <c r="T39" s="191"/>
      <c r="U39" s="190"/>
      <c r="V39" s="256"/>
      <c r="W39" s="257"/>
      <c r="X39" s="192"/>
    </row>
    <row r="40" spans="1:24" ht="15.75">
      <c r="A40" s="236" t="s">
        <v>117</v>
      </c>
      <c r="B40" s="209"/>
      <c r="C40" s="196"/>
      <c r="D40" s="174"/>
      <c r="E40" s="174"/>
      <c r="F40" s="196"/>
      <c r="G40" s="196">
        <v>184.426</v>
      </c>
      <c r="H40" s="374">
        <v>14.4</v>
      </c>
      <c r="I40" s="196"/>
      <c r="J40" s="196">
        <v>151.9</v>
      </c>
      <c r="K40" s="196">
        <v>26</v>
      </c>
      <c r="L40" s="174"/>
      <c r="M40" s="174">
        <v>41.5</v>
      </c>
      <c r="N40" s="265">
        <f t="shared" si="0"/>
        <v>418.226</v>
      </c>
      <c r="O40" s="255"/>
      <c r="P40" s="255"/>
      <c r="Q40" s="255"/>
      <c r="R40" s="255"/>
      <c r="S40" s="255"/>
      <c r="T40" s="249"/>
      <c r="U40" s="255"/>
      <c r="V40" s="256"/>
      <c r="W40" s="257"/>
      <c r="X40" s="200"/>
    </row>
    <row r="41" spans="1:24" ht="15.75">
      <c r="A41" s="236" t="s">
        <v>118</v>
      </c>
      <c r="B41" s="209"/>
      <c r="C41" s="196"/>
      <c r="D41" s="174"/>
      <c r="E41" s="174"/>
      <c r="F41" s="196"/>
      <c r="G41" s="196">
        <v>95.14</v>
      </c>
      <c r="H41" s="374">
        <v>14.4</v>
      </c>
      <c r="I41" s="196"/>
      <c r="J41" s="196"/>
      <c r="K41" s="196">
        <v>10.2</v>
      </c>
      <c r="L41" s="174"/>
      <c r="M41" s="174">
        <v>27.2</v>
      </c>
      <c r="N41" s="265">
        <f t="shared" si="0"/>
        <v>146.94</v>
      </c>
      <c r="O41" s="255"/>
      <c r="P41" s="255"/>
      <c r="Q41" s="255"/>
      <c r="R41" s="255"/>
      <c r="S41" s="255"/>
      <c r="T41" s="249"/>
      <c r="U41" s="255"/>
      <c r="V41" s="256"/>
      <c r="W41" s="257"/>
      <c r="X41" s="200"/>
    </row>
    <row r="42" spans="1:24" ht="15.75">
      <c r="A42" s="236" t="s">
        <v>119</v>
      </c>
      <c r="B42" s="209"/>
      <c r="C42" s="196"/>
      <c r="D42" s="174"/>
      <c r="E42" s="174"/>
      <c r="F42" s="196"/>
      <c r="G42" s="196">
        <v>128.695</v>
      </c>
      <c r="H42" s="374">
        <v>14.4</v>
      </c>
      <c r="I42" s="196"/>
      <c r="J42" s="196"/>
      <c r="K42" s="196">
        <v>13.5</v>
      </c>
      <c r="L42" s="174"/>
      <c r="M42" s="174">
        <v>26</v>
      </c>
      <c r="N42" s="265">
        <f t="shared" si="0"/>
        <v>182.595</v>
      </c>
      <c r="O42" s="255"/>
      <c r="P42" s="255"/>
      <c r="Q42" s="255"/>
      <c r="R42" s="255"/>
      <c r="S42" s="255"/>
      <c r="T42" s="249"/>
      <c r="U42" s="255"/>
      <c r="V42" s="256"/>
      <c r="W42" s="257"/>
      <c r="X42" s="200"/>
    </row>
    <row r="43" spans="1:24" ht="15.75">
      <c r="A43" s="236" t="s">
        <v>120</v>
      </c>
      <c r="B43" s="209"/>
      <c r="C43" s="196"/>
      <c r="D43" s="174"/>
      <c r="E43" s="174"/>
      <c r="F43" s="196"/>
      <c r="G43" s="196">
        <v>179.62</v>
      </c>
      <c r="H43" s="374">
        <v>14.4</v>
      </c>
      <c r="I43" s="196"/>
      <c r="J43" s="196"/>
      <c r="K43" s="196">
        <v>17.5</v>
      </c>
      <c r="L43" s="174"/>
      <c r="M43" s="174">
        <v>20.6</v>
      </c>
      <c r="N43" s="265">
        <f t="shared" si="0"/>
        <v>232.12</v>
      </c>
      <c r="O43" s="255"/>
      <c r="P43" s="255"/>
      <c r="Q43" s="255"/>
      <c r="R43" s="255"/>
      <c r="S43" s="255"/>
      <c r="T43" s="249"/>
      <c r="U43" s="255"/>
      <c r="V43" s="256"/>
      <c r="W43" s="196"/>
      <c r="X43" s="259"/>
    </row>
    <row r="44" spans="1:24" ht="15.75">
      <c r="A44" s="236" t="s">
        <v>121</v>
      </c>
      <c r="B44" s="209"/>
      <c r="C44" s="196"/>
      <c r="D44" s="174"/>
      <c r="E44" s="174"/>
      <c r="F44" s="196"/>
      <c r="G44" s="196">
        <v>274.745</v>
      </c>
      <c r="H44" s="374">
        <v>14.4</v>
      </c>
      <c r="I44" s="196"/>
      <c r="J44" s="196"/>
      <c r="K44" s="196">
        <v>19</v>
      </c>
      <c r="L44" s="174"/>
      <c r="M44" s="174">
        <v>31.5</v>
      </c>
      <c r="N44" s="265">
        <f t="shared" si="0"/>
        <v>339.645</v>
      </c>
      <c r="O44" s="255"/>
      <c r="P44" s="255"/>
      <c r="Q44" s="255"/>
      <c r="R44" s="255"/>
      <c r="S44" s="255"/>
      <c r="T44" s="249"/>
      <c r="U44" s="255"/>
      <c r="V44" s="256"/>
      <c r="W44" s="196"/>
      <c r="X44" s="259"/>
    </row>
    <row r="45" spans="1:24" ht="15.75">
      <c r="A45" s="236" t="s">
        <v>122</v>
      </c>
      <c r="B45" s="209"/>
      <c r="C45" s="196"/>
      <c r="D45" s="174"/>
      <c r="E45" s="174"/>
      <c r="F45" s="196"/>
      <c r="G45" s="196">
        <v>330</v>
      </c>
      <c r="H45" s="374">
        <v>14.4</v>
      </c>
      <c r="I45" s="196"/>
      <c r="J45" s="196">
        <v>184.7</v>
      </c>
      <c r="K45" s="196">
        <v>19</v>
      </c>
      <c r="L45" s="174"/>
      <c r="M45" s="174">
        <v>58.2</v>
      </c>
      <c r="N45" s="265">
        <f t="shared" si="0"/>
        <v>606.3</v>
      </c>
      <c r="O45" s="255"/>
      <c r="P45" s="255"/>
      <c r="Q45" s="255"/>
      <c r="R45" s="255"/>
      <c r="S45" s="255"/>
      <c r="T45" s="249"/>
      <c r="U45" s="255"/>
      <c r="V45" s="256"/>
      <c r="W45" s="196"/>
      <c r="X45" s="259"/>
    </row>
    <row r="46" spans="1:24" ht="15.75">
      <c r="A46" s="236" t="s">
        <v>123</v>
      </c>
      <c r="B46" s="209"/>
      <c r="C46" s="196"/>
      <c r="D46" s="174"/>
      <c r="E46" s="174"/>
      <c r="F46" s="196"/>
      <c r="G46" s="196">
        <v>129.835</v>
      </c>
      <c r="H46" s="374">
        <v>14.4</v>
      </c>
      <c r="I46" s="196"/>
      <c r="J46" s="196"/>
      <c r="K46" s="196">
        <v>19</v>
      </c>
      <c r="L46" s="174"/>
      <c r="M46" s="174">
        <v>38</v>
      </c>
      <c r="N46" s="265">
        <f t="shared" si="0"/>
        <v>201.235</v>
      </c>
      <c r="O46" s="255"/>
      <c r="P46" s="255"/>
      <c r="Q46" s="255"/>
      <c r="R46" s="255"/>
      <c r="S46" s="255"/>
      <c r="T46" s="249"/>
      <c r="U46" s="255"/>
      <c r="V46" s="256"/>
      <c r="W46" s="196"/>
      <c r="X46" s="259"/>
    </row>
    <row r="47" spans="1:24" ht="15.75">
      <c r="A47" s="236" t="s">
        <v>124</v>
      </c>
      <c r="B47" s="209"/>
      <c r="C47" s="196"/>
      <c r="D47" s="174"/>
      <c r="E47" s="174"/>
      <c r="F47" s="196"/>
      <c r="G47" s="196">
        <v>260.918</v>
      </c>
      <c r="H47" s="374">
        <v>14.4</v>
      </c>
      <c r="I47" s="196"/>
      <c r="J47" s="196"/>
      <c r="K47" s="196">
        <v>12.5</v>
      </c>
      <c r="L47" s="174"/>
      <c r="M47" s="174">
        <v>39.3</v>
      </c>
      <c r="N47" s="265">
        <f t="shared" si="0"/>
        <v>327.118</v>
      </c>
      <c r="O47" s="197"/>
      <c r="P47" s="197"/>
      <c r="Q47" s="190"/>
      <c r="R47" s="190"/>
      <c r="S47" s="190"/>
      <c r="T47" s="191"/>
      <c r="U47" s="190"/>
      <c r="V47" s="256"/>
      <c r="W47" s="196"/>
      <c r="X47" s="198"/>
    </row>
    <row r="48" spans="1:24" ht="15.75">
      <c r="A48" s="236" t="s">
        <v>125</v>
      </c>
      <c r="B48" s="209"/>
      <c r="C48" s="196"/>
      <c r="D48" s="174"/>
      <c r="E48" s="174"/>
      <c r="F48" s="196"/>
      <c r="G48" s="196">
        <f>271.972-18.8</f>
        <v>253.17199999999997</v>
      </c>
      <c r="H48" s="374">
        <v>14.4</v>
      </c>
      <c r="I48" s="196">
        <v>15</v>
      </c>
      <c r="J48" s="196"/>
      <c r="K48" s="196">
        <v>19</v>
      </c>
      <c r="L48" s="174"/>
      <c r="M48" s="174">
        <v>28.7</v>
      </c>
      <c r="N48" s="265">
        <f t="shared" si="0"/>
        <v>330.27199999999993</v>
      </c>
      <c r="O48" s="255"/>
      <c r="P48" s="255"/>
      <c r="Q48" s="255"/>
      <c r="R48" s="255"/>
      <c r="S48" s="255"/>
      <c r="T48" s="249"/>
      <c r="U48" s="255"/>
      <c r="V48" s="256"/>
      <c r="W48" s="196"/>
      <c r="X48" s="259"/>
    </row>
    <row r="49" spans="1:24" ht="15.75">
      <c r="A49" s="236" t="s">
        <v>126</v>
      </c>
      <c r="B49" s="209"/>
      <c r="C49" s="196"/>
      <c r="D49" s="174"/>
      <c r="E49" s="174"/>
      <c r="F49" s="196"/>
      <c r="G49" s="196">
        <f>200.818+10</f>
        <v>210.818</v>
      </c>
      <c r="H49" s="374">
        <f>14.4+298.8</f>
        <v>313.2</v>
      </c>
      <c r="I49" s="196">
        <v>30</v>
      </c>
      <c r="J49" s="196">
        <v>151.9</v>
      </c>
      <c r="K49" s="196">
        <v>14.5</v>
      </c>
      <c r="L49" s="174"/>
      <c r="M49" s="174">
        <v>32.6</v>
      </c>
      <c r="N49" s="265">
        <f t="shared" si="0"/>
        <v>753.018</v>
      </c>
      <c r="O49" s="255"/>
      <c r="P49" s="255"/>
      <c r="Q49" s="255"/>
      <c r="R49" s="255"/>
      <c r="S49" s="255"/>
      <c r="T49" s="249"/>
      <c r="U49" s="255"/>
      <c r="V49" s="256"/>
      <c r="W49" s="257"/>
      <c r="X49" s="200"/>
    </row>
    <row r="50" spans="1:24" ht="15.75">
      <c r="A50" s="236" t="s">
        <v>127</v>
      </c>
      <c r="B50" s="209"/>
      <c r="C50" s="196"/>
      <c r="D50" s="174"/>
      <c r="E50" s="174"/>
      <c r="F50" s="196"/>
      <c r="G50" s="196">
        <v>248.043</v>
      </c>
      <c r="H50" s="374">
        <f>14.4+78.547</f>
        <v>92.947</v>
      </c>
      <c r="I50" s="196"/>
      <c r="J50" s="196"/>
      <c r="K50" s="196">
        <v>20</v>
      </c>
      <c r="L50" s="174"/>
      <c r="M50" s="174">
        <v>29.3</v>
      </c>
      <c r="N50" s="265">
        <f t="shared" si="0"/>
        <v>390.29</v>
      </c>
      <c r="O50" s="255"/>
      <c r="P50" s="255"/>
      <c r="Q50" s="255"/>
      <c r="R50" s="255"/>
      <c r="S50" s="255"/>
      <c r="T50" s="249"/>
      <c r="U50" s="255"/>
      <c r="V50" s="256"/>
      <c r="W50" s="257"/>
      <c r="X50" s="200"/>
    </row>
    <row r="51" spans="1:24" ht="15.75">
      <c r="A51" s="236" t="s">
        <v>128</v>
      </c>
      <c r="B51" s="209"/>
      <c r="C51" s="196"/>
      <c r="D51" s="196"/>
      <c r="E51" s="174"/>
      <c r="F51" s="196"/>
      <c r="G51" s="196">
        <v>66.12</v>
      </c>
      <c r="H51" s="374">
        <f>14.4+200</f>
        <v>214.4</v>
      </c>
      <c r="I51" s="196"/>
      <c r="J51" s="196"/>
      <c r="K51" s="196">
        <v>10.3</v>
      </c>
      <c r="L51" s="174"/>
      <c r="M51" s="174">
        <v>24.1</v>
      </c>
      <c r="N51" s="265">
        <f t="shared" si="0"/>
        <v>314.92</v>
      </c>
      <c r="O51" s="255"/>
      <c r="P51" s="255"/>
      <c r="Q51" s="255"/>
      <c r="R51" s="255"/>
      <c r="S51" s="255"/>
      <c r="T51" s="249"/>
      <c r="U51" s="255"/>
      <c r="V51" s="256"/>
      <c r="W51" s="257"/>
      <c r="X51" s="200"/>
    </row>
    <row r="52" spans="1:24" ht="15.75">
      <c r="A52" s="236" t="s">
        <v>129</v>
      </c>
      <c r="B52" s="209"/>
      <c r="C52" s="196"/>
      <c r="D52" s="196"/>
      <c r="E52" s="174"/>
      <c r="F52" s="196"/>
      <c r="G52" s="196">
        <v>150</v>
      </c>
      <c r="H52" s="374">
        <v>14.4</v>
      </c>
      <c r="I52" s="196"/>
      <c r="J52" s="196"/>
      <c r="K52" s="196">
        <v>10</v>
      </c>
      <c r="L52" s="174"/>
      <c r="M52" s="174">
        <v>23.1</v>
      </c>
      <c r="N52" s="265">
        <f t="shared" si="0"/>
        <v>197.5</v>
      </c>
      <c r="O52" s="255"/>
      <c r="P52" s="255"/>
      <c r="Q52" s="255"/>
      <c r="R52" s="255"/>
      <c r="S52" s="255"/>
      <c r="T52" s="249"/>
      <c r="U52" s="255"/>
      <c r="V52" s="256"/>
      <c r="W52" s="196"/>
      <c r="X52" s="200"/>
    </row>
    <row r="53" spans="1:24" ht="16.5" thickBot="1">
      <c r="A53" s="236" t="s">
        <v>136</v>
      </c>
      <c r="B53" s="209"/>
      <c r="C53" s="196"/>
      <c r="D53" s="196"/>
      <c r="E53" s="174"/>
      <c r="F53" s="174"/>
      <c r="G53" s="174">
        <f>2800-2800</f>
        <v>0</v>
      </c>
      <c r="H53" s="293">
        <f>7157.6-298.8-78.547-250-1400-300-290-271.272-4075-193</f>
        <v>0.9810000000006767</v>
      </c>
      <c r="I53" s="174"/>
      <c r="J53" s="174"/>
      <c r="K53" s="174"/>
      <c r="L53" s="174"/>
      <c r="M53" s="174"/>
      <c r="N53" s="265">
        <f>SUM(B53:M53)</f>
        <v>0.9810000000006767</v>
      </c>
      <c r="O53" s="197"/>
      <c r="P53" s="197"/>
      <c r="Q53" s="190"/>
      <c r="R53" s="190"/>
      <c r="S53" s="190"/>
      <c r="T53" s="249"/>
      <c r="U53" s="190"/>
      <c r="V53" s="260"/>
      <c r="W53" s="199"/>
      <c r="X53" s="200"/>
    </row>
    <row r="54" spans="1:24" ht="16.5" thickBot="1">
      <c r="A54" s="261" t="s">
        <v>131</v>
      </c>
      <c r="B54" s="252">
        <f aca="true" t="shared" si="1" ref="B54:M54">SUM(B8:B53)</f>
        <v>18557.199999999997</v>
      </c>
      <c r="C54" s="252">
        <f t="shared" si="1"/>
        <v>0</v>
      </c>
      <c r="D54" s="294">
        <f t="shared" si="1"/>
        <v>280.57500000000005</v>
      </c>
      <c r="E54" s="318">
        <f t="shared" si="1"/>
        <v>3200</v>
      </c>
      <c r="F54" s="252">
        <f t="shared" si="1"/>
        <v>3495.3</v>
      </c>
      <c r="G54" s="252">
        <f>SUM(G8:G53)</f>
        <v>6799.999999999999</v>
      </c>
      <c r="H54" s="294">
        <f t="shared" si="1"/>
        <v>5835.72799999999</v>
      </c>
      <c r="I54" s="252">
        <f t="shared" si="1"/>
        <v>300</v>
      </c>
      <c r="J54" s="252">
        <f t="shared" si="1"/>
        <v>1400.0000000000002</v>
      </c>
      <c r="K54" s="252">
        <f t="shared" si="1"/>
        <v>300</v>
      </c>
      <c r="L54" s="318">
        <f t="shared" si="1"/>
        <v>120</v>
      </c>
      <c r="M54" s="318">
        <f t="shared" si="1"/>
        <v>603.6</v>
      </c>
      <c r="N54" s="265">
        <f>SUM(B54:M54)</f>
        <v>40892.402999999984</v>
      </c>
      <c r="O54" s="201"/>
      <c r="P54" s="201"/>
      <c r="Q54" s="201"/>
      <c r="R54" s="201"/>
      <c r="S54" s="201"/>
      <c r="T54" s="202"/>
      <c r="U54" s="201"/>
      <c r="V54" s="203"/>
      <c r="W54" s="262"/>
      <c r="X54" s="204"/>
    </row>
    <row r="55" spans="14:15" ht="15.75">
      <c r="N55" s="237"/>
      <c r="O55" s="263"/>
    </row>
    <row r="56" spans="14:15" ht="15.75">
      <c r="N56" s="264">
        <f>N54-M54-B54</f>
        <v>21731.60299999999</v>
      </c>
      <c r="O56" s="264"/>
    </row>
    <row r="57" spans="14:15" ht="15.75">
      <c r="N57" s="264"/>
      <c r="O57" s="264"/>
    </row>
  </sheetData>
  <mergeCells count="6">
    <mergeCell ref="M6:M7"/>
    <mergeCell ref="A4:N4"/>
    <mergeCell ref="Y7:Z7"/>
    <mergeCell ref="A6:A7"/>
    <mergeCell ref="N6:N7"/>
    <mergeCell ref="B6:L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46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3" sqref="C3:E3"/>
    </sheetView>
  </sheetViews>
  <sheetFormatPr defaultColWidth="9.00390625" defaultRowHeight="12.75"/>
  <cols>
    <col min="1" max="1" width="17.25390625" style="0" customWidth="1"/>
    <col min="2" max="2" width="21.625" style="0" customWidth="1"/>
    <col min="3" max="3" width="17.25390625" style="0" customWidth="1"/>
    <col min="4" max="4" width="17.125" style="0" customWidth="1"/>
    <col min="5" max="5" width="17.875" style="0" customWidth="1"/>
    <col min="6" max="6" width="17.00390625" style="0" bestFit="1" customWidth="1"/>
  </cols>
  <sheetData>
    <row r="1" spans="1:5" ht="15">
      <c r="A1" s="268"/>
      <c r="B1" s="268"/>
      <c r="C1" s="472" t="s">
        <v>289</v>
      </c>
      <c r="D1" s="472"/>
      <c r="E1" s="472"/>
    </row>
    <row r="2" spans="1:5" ht="15">
      <c r="A2" s="268"/>
      <c r="B2" s="268"/>
      <c r="C2" s="472" t="s">
        <v>147</v>
      </c>
      <c r="D2" s="472"/>
      <c r="E2" s="472"/>
    </row>
    <row r="3" spans="1:5" ht="12.75">
      <c r="A3" s="268"/>
      <c r="B3" s="268"/>
      <c r="C3" s="525" t="s">
        <v>61</v>
      </c>
      <c r="D3" s="473"/>
      <c r="E3" s="473"/>
    </row>
    <row r="4" spans="1:5" ht="12.75">
      <c r="A4" s="268"/>
      <c r="B4" s="268"/>
      <c r="C4" s="268"/>
      <c r="D4" s="268"/>
      <c r="E4" s="268"/>
    </row>
    <row r="5" spans="1:5" ht="15.75">
      <c r="A5" s="474" t="s">
        <v>295</v>
      </c>
      <c r="B5" s="474"/>
      <c r="C5" s="474"/>
      <c r="D5" s="474"/>
      <c r="E5" s="474"/>
    </row>
    <row r="6" spans="1:5" ht="12.75">
      <c r="A6" s="471"/>
      <c r="B6" s="471"/>
      <c r="C6" s="471"/>
      <c r="D6" s="471"/>
      <c r="E6" s="471"/>
    </row>
    <row r="7" spans="1:5" ht="12.75">
      <c r="A7" s="268"/>
      <c r="B7" s="268"/>
      <c r="C7" s="268"/>
      <c r="D7" s="268"/>
      <c r="E7" s="268"/>
    </row>
    <row r="8" spans="1:5" ht="12.75">
      <c r="A8" s="268"/>
      <c r="B8" s="268"/>
      <c r="C8" s="268"/>
      <c r="D8" s="268"/>
      <c r="E8" s="269" t="s">
        <v>15</v>
      </c>
    </row>
    <row r="9" spans="1:5" ht="30">
      <c r="A9" s="304" t="s">
        <v>236</v>
      </c>
      <c r="B9" s="304" t="s">
        <v>290</v>
      </c>
      <c r="C9" s="304" t="s">
        <v>154</v>
      </c>
      <c r="D9" s="304" t="s">
        <v>238</v>
      </c>
      <c r="E9" s="304" t="s">
        <v>291</v>
      </c>
    </row>
    <row r="10" spans="1:5" ht="12.75">
      <c r="A10" s="270">
        <v>1</v>
      </c>
      <c r="B10" s="270">
        <v>2</v>
      </c>
      <c r="C10" s="270">
        <v>3</v>
      </c>
      <c r="D10" s="270">
        <v>4</v>
      </c>
      <c r="E10" s="270">
        <v>5</v>
      </c>
    </row>
    <row r="11" spans="1:5" ht="32.25" customHeight="1">
      <c r="A11" s="302">
        <v>200000</v>
      </c>
      <c r="B11" s="300" t="s">
        <v>292</v>
      </c>
      <c r="C11" s="252">
        <f aca="true" t="shared" si="0" ref="C11:C16">D11+E11</f>
        <v>129961.05000000075</v>
      </c>
      <c r="D11" s="298">
        <f>D12</f>
        <v>91562.89700000081</v>
      </c>
      <c r="E11" s="298">
        <f>E13</f>
        <v>38398.15299999993</v>
      </c>
    </row>
    <row r="12" spans="1:5" ht="46.5" customHeight="1">
      <c r="A12" s="303">
        <v>208000</v>
      </c>
      <c r="B12" s="301" t="s">
        <v>293</v>
      </c>
      <c r="C12" s="196">
        <f t="shared" si="0"/>
        <v>129961.05000000075</v>
      </c>
      <c r="D12" s="299">
        <f>D13</f>
        <v>91562.89700000081</v>
      </c>
      <c r="E12" s="196">
        <f>E13</f>
        <v>38398.15299999993</v>
      </c>
    </row>
    <row r="13" spans="1:7" ht="19.5" customHeight="1">
      <c r="A13" s="303">
        <v>208100</v>
      </c>
      <c r="B13" s="301" t="s">
        <v>294</v>
      </c>
      <c r="C13" s="196">
        <f t="shared" si="0"/>
        <v>129961.05000000075</v>
      </c>
      <c r="D13" s="299">
        <f>'№2'!C113-'№1'!C65</f>
        <v>91562.89700000081</v>
      </c>
      <c r="E13" s="196">
        <f>'№2'!G113-'№1'!D65</f>
        <v>38398.15299999993</v>
      </c>
      <c r="G13" s="308">
        <f>D13+2000</f>
        <v>93562.89700000081</v>
      </c>
    </row>
    <row r="14" spans="1:5" ht="45.75" customHeight="1">
      <c r="A14" s="302">
        <v>600000</v>
      </c>
      <c r="B14" s="300" t="s">
        <v>332</v>
      </c>
      <c r="C14" s="252">
        <f t="shared" si="0"/>
        <v>129961.05000000075</v>
      </c>
      <c r="D14" s="252">
        <f>D15</f>
        <v>91562.89700000081</v>
      </c>
      <c r="E14" s="252">
        <f>E13</f>
        <v>38398.15299999993</v>
      </c>
    </row>
    <row r="15" spans="1:5" ht="38.25" customHeight="1">
      <c r="A15" s="303">
        <v>602000</v>
      </c>
      <c r="B15" s="301" t="s">
        <v>333</v>
      </c>
      <c r="C15" s="299">
        <f t="shared" si="0"/>
        <v>129961.05000000075</v>
      </c>
      <c r="D15" s="299">
        <f>D16</f>
        <v>91562.89700000081</v>
      </c>
      <c r="E15" s="299">
        <f>E14</f>
        <v>38398.15299999993</v>
      </c>
    </row>
    <row r="16" spans="1:6" ht="29.25" customHeight="1">
      <c r="A16" s="303">
        <v>602100</v>
      </c>
      <c r="B16" s="301" t="s">
        <v>294</v>
      </c>
      <c r="C16" s="299">
        <f t="shared" si="0"/>
        <v>129961.05000000075</v>
      </c>
      <c r="D16" s="299">
        <f>'№2'!C113-'№1'!C65</f>
        <v>91562.89700000081</v>
      </c>
      <c r="E16" s="299">
        <f>E15</f>
        <v>38398.15299999993</v>
      </c>
      <c r="F16" s="363"/>
    </row>
    <row r="18" spans="3:6" ht="12.75">
      <c r="C18" s="308">
        <f>C16-'[1]№6'!$C$16</f>
        <v>-202.25000000058208</v>
      </c>
      <c r="D18" s="308">
        <f>D16-'[1]№6'!$D$16</f>
        <v>-400.00300000049174</v>
      </c>
      <c r="E18" s="308">
        <f>E16-'[1]№6'!$E$16</f>
        <v>197.7529999999315</v>
      </c>
      <c r="F18" s="364"/>
    </row>
    <row r="21" spans="3:5" ht="15">
      <c r="C21" s="365">
        <v>129961.0999999994</v>
      </c>
      <c r="D21" s="365">
        <v>91562.89999999944</v>
      </c>
      <c r="E21" s="365">
        <v>38398.2</v>
      </c>
    </row>
    <row r="23" spans="3:5" ht="12.75">
      <c r="C23" s="308">
        <f>C21-C11</f>
        <v>0.04999999864958227</v>
      </c>
      <c r="D23" s="308">
        <f>D21-D11</f>
        <v>0.00299999862909317</v>
      </c>
      <c r="E23" s="308">
        <f>E21-E11</f>
        <v>0.04700000006414484</v>
      </c>
    </row>
    <row r="24" ht="12.75">
      <c r="D24" s="345">
        <f>D13-D14</f>
        <v>0</v>
      </c>
    </row>
  </sheetData>
  <mergeCells count="5">
    <mergeCell ref="A6:E6"/>
    <mergeCell ref="C1:E1"/>
    <mergeCell ref="C2:E2"/>
    <mergeCell ref="C3:E3"/>
    <mergeCell ref="A5:E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view="pageBreakPreview" zoomScale="85" zoomScaleSheetLayoutView="8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4" sqref="A4:J4"/>
    </sheetView>
  </sheetViews>
  <sheetFormatPr defaultColWidth="9.00390625" defaultRowHeight="12.75"/>
  <cols>
    <col min="1" max="1" width="3.125" style="278" customWidth="1"/>
    <col min="2" max="2" width="10.375" style="278" customWidth="1"/>
    <col min="3" max="3" width="9.875" style="278" customWidth="1"/>
    <col min="4" max="4" width="15.125" style="278" customWidth="1"/>
    <col min="5" max="5" width="17.375" style="278" customWidth="1"/>
    <col min="6" max="6" width="14.00390625" style="278" customWidth="1"/>
    <col min="7" max="7" width="12.625" style="278" customWidth="1"/>
    <col min="8" max="8" width="11.00390625" style="278" customWidth="1"/>
    <col min="9" max="9" width="13.375" style="278" customWidth="1"/>
    <col min="10" max="10" width="12.25390625" style="278" customWidth="1"/>
    <col min="11" max="16384" width="9.125" style="278" customWidth="1"/>
  </cols>
  <sheetData>
    <row r="1" spans="5:10" s="268" customFormat="1" ht="13.5" customHeight="1">
      <c r="E1" s="356"/>
      <c r="F1" s="356"/>
      <c r="G1" s="356"/>
      <c r="H1" s="357" t="s">
        <v>445</v>
      </c>
      <c r="I1" s="356"/>
      <c r="J1" s="356"/>
    </row>
    <row r="2" spans="5:10" s="268" customFormat="1" ht="12.75">
      <c r="E2" s="269"/>
      <c r="F2" s="269"/>
      <c r="G2" s="269"/>
      <c r="H2" s="357" t="s">
        <v>147</v>
      </c>
      <c r="I2" s="269"/>
      <c r="J2" s="269"/>
    </row>
    <row r="3" spans="4:9" s="268" customFormat="1" ht="15">
      <c r="D3" s="164"/>
      <c r="E3" s="164"/>
      <c r="F3" s="164"/>
      <c r="G3" s="164"/>
      <c r="H3" s="523" t="s">
        <v>61</v>
      </c>
      <c r="I3" s="164"/>
    </row>
    <row r="4" spans="1:10" ht="51.75" customHeight="1">
      <c r="A4" s="481" t="s">
        <v>304</v>
      </c>
      <c r="B4" s="481"/>
      <c r="C4" s="481"/>
      <c r="D4" s="481"/>
      <c r="E4" s="481"/>
      <c r="F4" s="481"/>
      <c r="G4" s="481"/>
      <c r="H4" s="481"/>
      <c r="I4" s="481"/>
      <c r="J4" s="481"/>
    </row>
    <row r="5" spans="1:10" ht="12.75">
      <c r="A5" s="277"/>
      <c r="J5" s="278" t="s">
        <v>15</v>
      </c>
    </row>
    <row r="6" spans="1:10" ht="12.75">
      <c r="A6" s="482" t="s">
        <v>305</v>
      </c>
      <c r="B6" s="485" t="s">
        <v>306</v>
      </c>
      <c r="C6" s="486"/>
      <c r="D6" s="279" t="s">
        <v>42</v>
      </c>
      <c r="E6" s="279" t="s">
        <v>307</v>
      </c>
      <c r="F6" s="498" t="s">
        <v>32</v>
      </c>
      <c r="G6" s="498"/>
      <c r="H6" s="498"/>
      <c r="I6" s="498"/>
      <c r="J6" s="487" t="s">
        <v>154</v>
      </c>
    </row>
    <row r="7" spans="1:10" ht="55.5" customHeight="1">
      <c r="A7" s="483"/>
      <c r="B7" s="490" t="s">
        <v>308</v>
      </c>
      <c r="C7" s="491"/>
      <c r="D7" s="280" t="s">
        <v>309</v>
      </c>
      <c r="E7" s="344" t="s">
        <v>420</v>
      </c>
      <c r="F7" s="499" t="s">
        <v>330</v>
      </c>
      <c r="G7" s="500"/>
      <c r="H7" s="500"/>
      <c r="I7" s="501"/>
      <c r="J7" s="488"/>
    </row>
    <row r="8" spans="1:10" ht="38.25" customHeight="1">
      <c r="A8" s="483"/>
      <c r="B8" s="492" t="s">
        <v>310</v>
      </c>
      <c r="C8" s="493"/>
      <c r="D8" s="494" t="s">
        <v>311</v>
      </c>
      <c r="E8" s="494" t="s">
        <v>312</v>
      </c>
      <c r="F8" s="502" t="s">
        <v>436</v>
      </c>
      <c r="G8" s="502" t="s">
        <v>437</v>
      </c>
      <c r="H8" s="502" t="s">
        <v>438</v>
      </c>
      <c r="I8" s="502"/>
      <c r="J8" s="488"/>
    </row>
    <row r="9" spans="1:10" ht="89.25">
      <c r="A9" s="484"/>
      <c r="B9" s="282" t="s">
        <v>77</v>
      </c>
      <c r="C9" s="283"/>
      <c r="D9" s="495"/>
      <c r="E9" s="495"/>
      <c r="F9" s="502"/>
      <c r="G9" s="502"/>
      <c r="H9" s="502"/>
      <c r="I9" s="502"/>
      <c r="J9" s="488"/>
    </row>
    <row r="10" spans="1:10" ht="26.25" customHeight="1">
      <c r="A10" s="281"/>
      <c r="B10" s="496" t="s">
        <v>313</v>
      </c>
      <c r="C10" s="497"/>
      <c r="D10" s="284" t="s">
        <v>197</v>
      </c>
      <c r="E10" s="284" t="s">
        <v>197</v>
      </c>
      <c r="F10" s="344" t="s">
        <v>197</v>
      </c>
      <c r="G10" s="344" t="s">
        <v>197</v>
      </c>
      <c r="H10" s="344" t="s">
        <v>197</v>
      </c>
      <c r="I10" s="344" t="s">
        <v>435</v>
      </c>
      <c r="J10" s="489"/>
    </row>
    <row r="11" spans="1:16" ht="12.75">
      <c r="A11" s="285">
        <v>1</v>
      </c>
      <c r="B11" s="479" t="s">
        <v>93</v>
      </c>
      <c r="C11" s="480"/>
      <c r="D11" s="286"/>
      <c r="E11" s="286"/>
      <c r="F11" s="286"/>
      <c r="G11" s="286"/>
      <c r="H11" s="286"/>
      <c r="I11" s="286"/>
      <c r="J11" s="287">
        <f>D11+E11+F11+G11+H11+I11</f>
        <v>0</v>
      </c>
      <c r="K11" s="288">
        <f>D11+E11</f>
        <v>0</v>
      </c>
      <c r="L11" s="278">
        <f>K11*1000</f>
        <v>0</v>
      </c>
      <c r="M11" s="371">
        <f>F11+G11+H11</f>
        <v>0</v>
      </c>
      <c r="N11" s="278">
        <f>M11*1000</f>
        <v>0</v>
      </c>
      <c r="O11" s="371">
        <f>I11</f>
        <v>0</v>
      </c>
      <c r="P11" s="278">
        <f>O11*1000</f>
        <v>0</v>
      </c>
    </row>
    <row r="12" spans="1:16" ht="12.75">
      <c r="A12" s="285">
        <v>2</v>
      </c>
      <c r="B12" s="475" t="s">
        <v>85</v>
      </c>
      <c r="C12" s="475"/>
      <c r="D12" s="289">
        <f>90+10</f>
        <v>100</v>
      </c>
      <c r="E12" s="289"/>
      <c r="F12" s="289"/>
      <c r="G12" s="289"/>
      <c r="H12" s="289"/>
      <c r="I12" s="289"/>
      <c r="J12" s="287">
        <f aca="true" t="shared" si="0" ref="J12:J58">D12+E12+F12+G12+H12+I12</f>
        <v>100</v>
      </c>
      <c r="K12" s="288">
        <f aca="true" t="shared" si="1" ref="K12:K58">D12+E12</f>
        <v>100</v>
      </c>
      <c r="L12" s="278">
        <f aca="true" t="shared" si="2" ref="L12:L58">K12*1000</f>
        <v>100000</v>
      </c>
      <c r="M12" s="371">
        <f aca="true" t="shared" si="3" ref="M12:M58">F12+G12+H12</f>
        <v>0</v>
      </c>
      <c r="N12" s="278">
        <f aca="true" t="shared" si="4" ref="N12:N58">M12*1000</f>
        <v>0</v>
      </c>
      <c r="O12" s="371">
        <f aca="true" t="shared" si="5" ref="O12:O58">I12</f>
        <v>0</v>
      </c>
      <c r="P12" s="278">
        <f aca="true" t="shared" si="6" ref="P12:P58">O12*1000</f>
        <v>0</v>
      </c>
    </row>
    <row r="13" spans="1:16" ht="12.75">
      <c r="A13" s="285">
        <v>3</v>
      </c>
      <c r="B13" s="475" t="s">
        <v>86</v>
      </c>
      <c r="C13" s="475"/>
      <c r="D13" s="289">
        <v>120</v>
      </c>
      <c r="E13" s="289">
        <v>50</v>
      </c>
      <c r="F13" s="289"/>
      <c r="G13" s="289"/>
      <c r="H13" s="289"/>
      <c r="I13" s="289"/>
      <c r="J13" s="287">
        <f t="shared" si="0"/>
        <v>170</v>
      </c>
      <c r="K13" s="288">
        <f t="shared" si="1"/>
        <v>170</v>
      </c>
      <c r="L13" s="278">
        <f t="shared" si="2"/>
        <v>170000</v>
      </c>
      <c r="M13" s="371">
        <f t="shared" si="3"/>
        <v>0</v>
      </c>
      <c r="N13" s="278">
        <f t="shared" si="4"/>
        <v>0</v>
      </c>
      <c r="O13" s="371">
        <f t="shared" si="5"/>
        <v>0</v>
      </c>
      <c r="P13" s="278">
        <f t="shared" si="6"/>
        <v>0</v>
      </c>
    </row>
    <row r="14" spans="1:16" ht="12.75">
      <c r="A14" s="285">
        <v>4</v>
      </c>
      <c r="B14" s="475" t="s">
        <v>109</v>
      </c>
      <c r="C14" s="475"/>
      <c r="D14" s="289">
        <v>25</v>
      </c>
      <c r="E14" s="289"/>
      <c r="F14" s="289">
        <v>0.058</v>
      </c>
      <c r="G14" s="289"/>
      <c r="H14" s="289"/>
      <c r="I14" s="289"/>
      <c r="J14" s="287">
        <f t="shared" si="0"/>
        <v>25.058</v>
      </c>
      <c r="K14" s="288">
        <f t="shared" si="1"/>
        <v>25</v>
      </c>
      <c r="L14" s="278">
        <f t="shared" si="2"/>
        <v>25000</v>
      </c>
      <c r="M14" s="371">
        <f t="shared" si="3"/>
        <v>0.058</v>
      </c>
      <c r="N14" s="278">
        <f t="shared" si="4"/>
        <v>58</v>
      </c>
      <c r="O14" s="371">
        <f t="shared" si="5"/>
        <v>0</v>
      </c>
      <c r="P14" s="278">
        <f t="shared" si="6"/>
        <v>0</v>
      </c>
    </row>
    <row r="15" spans="1:16" ht="12.75">
      <c r="A15" s="285">
        <v>5</v>
      </c>
      <c r="B15" s="475" t="s">
        <v>87</v>
      </c>
      <c r="C15" s="475"/>
      <c r="D15" s="289">
        <v>175</v>
      </c>
      <c r="E15" s="289">
        <f>140-40</f>
        <v>100</v>
      </c>
      <c r="F15" s="289"/>
      <c r="G15" s="289"/>
      <c r="H15" s="289"/>
      <c r="I15" s="289"/>
      <c r="J15" s="287">
        <f t="shared" si="0"/>
        <v>275</v>
      </c>
      <c r="K15" s="288">
        <f t="shared" si="1"/>
        <v>275</v>
      </c>
      <c r="L15" s="278">
        <f t="shared" si="2"/>
        <v>275000</v>
      </c>
      <c r="M15" s="371">
        <f t="shared" si="3"/>
        <v>0</v>
      </c>
      <c r="N15" s="278">
        <f t="shared" si="4"/>
        <v>0</v>
      </c>
      <c r="O15" s="371">
        <f t="shared" si="5"/>
        <v>0</v>
      </c>
      <c r="P15" s="278">
        <f t="shared" si="6"/>
        <v>0</v>
      </c>
    </row>
    <row r="16" spans="1:16" ht="12.75">
      <c r="A16" s="285">
        <v>6</v>
      </c>
      <c r="B16" s="475" t="s">
        <v>88</v>
      </c>
      <c r="C16" s="475"/>
      <c r="D16" s="289">
        <v>73</v>
      </c>
      <c r="E16" s="289">
        <v>40</v>
      </c>
      <c r="F16" s="289">
        <v>0.099</v>
      </c>
      <c r="G16" s="289"/>
      <c r="H16" s="289"/>
      <c r="I16" s="289">
        <v>3.173</v>
      </c>
      <c r="J16" s="287">
        <f t="shared" si="0"/>
        <v>116.272</v>
      </c>
      <c r="K16" s="288">
        <f t="shared" si="1"/>
        <v>113</v>
      </c>
      <c r="L16" s="278">
        <f t="shared" si="2"/>
        <v>113000</v>
      </c>
      <c r="M16" s="371">
        <f t="shared" si="3"/>
        <v>0.099</v>
      </c>
      <c r="N16" s="278">
        <f t="shared" si="4"/>
        <v>99</v>
      </c>
      <c r="O16" s="371">
        <f t="shared" si="5"/>
        <v>3.173</v>
      </c>
      <c r="P16" s="278">
        <f t="shared" si="6"/>
        <v>3173</v>
      </c>
    </row>
    <row r="17" spans="1:16" ht="12.75">
      <c r="A17" s="285">
        <v>7</v>
      </c>
      <c r="B17" s="475" t="s">
        <v>89</v>
      </c>
      <c r="C17" s="475"/>
      <c r="D17" s="289">
        <v>45</v>
      </c>
      <c r="E17" s="289">
        <v>60</v>
      </c>
      <c r="F17" s="289"/>
      <c r="G17" s="289"/>
      <c r="H17" s="289"/>
      <c r="I17" s="289"/>
      <c r="J17" s="287">
        <f t="shared" si="0"/>
        <v>105</v>
      </c>
      <c r="K17" s="288">
        <f t="shared" si="1"/>
        <v>105</v>
      </c>
      <c r="L17" s="278">
        <f t="shared" si="2"/>
        <v>105000</v>
      </c>
      <c r="M17" s="371">
        <f t="shared" si="3"/>
        <v>0</v>
      </c>
      <c r="N17" s="278">
        <f t="shared" si="4"/>
        <v>0</v>
      </c>
      <c r="O17" s="371">
        <f t="shared" si="5"/>
        <v>0</v>
      </c>
      <c r="P17" s="278">
        <f t="shared" si="6"/>
        <v>0</v>
      </c>
    </row>
    <row r="18" spans="1:16" ht="12.75">
      <c r="A18" s="285">
        <v>8</v>
      </c>
      <c r="B18" s="475" t="s">
        <v>314</v>
      </c>
      <c r="C18" s="475"/>
      <c r="D18" s="289">
        <v>20</v>
      </c>
      <c r="E18" s="289">
        <v>39</v>
      </c>
      <c r="F18" s="289"/>
      <c r="G18" s="289"/>
      <c r="H18" s="289"/>
      <c r="I18" s="289"/>
      <c r="J18" s="287">
        <f t="shared" si="0"/>
        <v>59</v>
      </c>
      <c r="K18" s="288">
        <f t="shared" si="1"/>
        <v>59</v>
      </c>
      <c r="L18" s="278">
        <f t="shared" si="2"/>
        <v>59000</v>
      </c>
      <c r="M18" s="371">
        <f t="shared" si="3"/>
        <v>0</v>
      </c>
      <c r="N18" s="278">
        <f t="shared" si="4"/>
        <v>0</v>
      </c>
      <c r="O18" s="371">
        <f t="shared" si="5"/>
        <v>0</v>
      </c>
      <c r="P18" s="278">
        <f t="shared" si="6"/>
        <v>0</v>
      </c>
    </row>
    <row r="19" spans="1:16" ht="12.75">
      <c r="A19" s="285">
        <v>9</v>
      </c>
      <c r="B19" s="475" t="s">
        <v>91</v>
      </c>
      <c r="C19" s="475"/>
      <c r="D19" s="289">
        <v>248</v>
      </c>
      <c r="E19" s="289"/>
      <c r="F19" s="289"/>
      <c r="G19" s="289"/>
      <c r="H19" s="289"/>
      <c r="I19" s="289"/>
      <c r="J19" s="287">
        <f t="shared" si="0"/>
        <v>248</v>
      </c>
      <c r="K19" s="288">
        <f t="shared" si="1"/>
        <v>248</v>
      </c>
      <c r="L19" s="278">
        <f t="shared" si="2"/>
        <v>248000</v>
      </c>
      <c r="M19" s="371">
        <f t="shared" si="3"/>
        <v>0</v>
      </c>
      <c r="N19" s="278">
        <f t="shared" si="4"/>
        <v>0</v>
      </c>
      <c r="O19" s="371">
        <f t="shared" si="5"/>
        <v>0</v>
      </c>
      <c r="P19" s="278">
        <f t="shared" si="6"/>
        <v>0</v>
      </c>
    </row>
    <row r="20" spans="1:16" ht="12.75">
      <c r="A20" s="285">
        <v>10</v>
      </c>
      <c r="B20" s="475" t="s">
        <v>92</v>
      </c>
      <c r="C20" s="475"/>
      <c r="D20" s="289">
        <v>30</v>
      </c>
      <c r="E20" s="289"/>
      <c r="F20" s="289"/>
      <c r="G20" s="289"/>
      <c r="H20" s="289"/>
      <c r="I20" s="289"/>
      <c r="J20" s="287">
        <f t="shared" si="0"/>
        <v>30</v>
      </c>
      <c r="K20" s="288">
        <f t="shared" si="1"/>
        <v>30</v>
      </c>
      <c r="L20" s="278">
        <f t="shared" si="2"/>
        <v>30000</v>
      </c>
      <c r="M20" s="371">
        <f t="shared" si="3"/>
        <v>0</v>
      </c>
      <c r="N20" s="278">
        <f t="shared" si="4"/>
        <v>0</v>
      </c>
      <c r="O20" s="371">
        <f t="shared" si="5"/>
        <v>0</v>
      </c>
      <c r="P20" s="278">
        <f t="shared" si="6"/>
        <v>0</v>
      </c>
    </row>
    <row r="21" spans="1:16" ht="12.75">
      <c r="A21" s="285">
        <v>11</v>
      </c>
      <c r="B21" s="475" t="s">
        <v>94</v>
      </c>
      <c r="C21" s="475"/>
      <c r="D21" s="289">
        <v>50</v>
      </c>
      <c r="E21" s="289"/>
      <c r="F21" s="289"/>
      <c r="G21" s="289"/>
      <c r="H21" s="289">
        <v>9.186</v>
      </c>
      <c r="I21" s="289"/>
      <c r="J21" s="287">
        <f t="shared" si="0"/>
        <v>59.186</v>
      </c>
      <c r="K21" s="288">
        <f t="shared" si="1"/>
        <v>50</v>
      </c>
      <c r="L21" s="278">
        <f t="shared" si="2"/>
        <v>50000</v>
      </c>
      <c r="M21" s="371">
        <f t="shared" si="3"/>
        <v>9.186</v>
      </c>
      <c r="N21" s="278">
        <f t="shared" si="4"/>
        <v>9186</v>
      </c>
      <c r="O21" s="371">
        <f t="shared" si="5"/>
        <v>0</v>
      </c>
      <c r="P21" s="278">
        <f t="shared" si="6"/>
        <v>0</v>
      </c>
    </row>
    <row r="22" spans="1:16" ht="12.75">
      <c r="A22" s="285">
        <v>12</v>
      </c>
      <c r="B22" s="475" t="s">
        <v>95</v>
      </c>
      <c r="C22" s="475"/>
      <c r="D22" s="289"/>
      <c r="E22" s="289"/>
      <c r="F22" s="289"/>
      <c r="G22" s="289"/>
      <c r="H22" s="289"/>
      <c r="I22" s="289"/>
      <c r="J22" s="287">
        <f t="shared" si="0"/>
        <v>0</v>
      </c>
      <c r="K22" s="288">
        <f t="shared" si="1"/>
        <v>0</v>
      </c>
      <c r="L22" s="278">
        <f t="shared" si="2"/>
        <v>0</v>
      </c>
      <c r="M22" s="371">
        <f t="shared" si="3"/>
        <v>0</v>
      </c>
      <c r="N22" s="278">
        <f t="shared" si="4"/>
        <v>0</v>
      </c>
      <c r="O22" s="371">
        <f t="shared" si="5"/>
        <v>0</v>
      </c>
      <c r="P22" s="278">
        <f t="shared" si="6"/>
        <v>0</v>
      </c>
    </row>
    <row r="23" spans="1:16" ht="15">
      <c r="A23" s="285">
        <v>13</v>
      </c>
      <c r="B23" s="475" t="s">
        <v>96</v>
      </c>
      <c r="C23" s="478"/>
      <c r="D23" s="289">
        <v>20</v>
      </c>
      <c r="E23" s="289"/>
      <c r="F23" s="289"/>
      <c r="G23" s="289"/>
      <c r="H23" s="289"/>
      <c r="I23" s="289"/>
      <c r="J23" s="287">
        <f t="shared" si="0"/>
        <v>20</v>
      </c>
      <c r="K23" s="288">
        <f t="shared" si="1"/>
        <v>20</v>
      </c>
      <c r="L23" s="278">
        <f t="shared" si="2"/>
        <v>20000</v>
      </c>
      <c r="M23" s="371">
        <f t="shared" si="3"/>
        <v>0</v>
      </c>
      <c r="N23" s="278">
        <f t="shared" si="4"/>
        <v>0</v>
      </c>
      <c r="O23" s="371">
        <f t="shared" si="5"/>
        <v>0</v>
      </c>
      <c r="P23" s="278">
        <f t="shared" si="6"/>
        <v>0</v>
      </c>
    </row>
    <row r="24" spans="1:16" ht="12.75">
      <c r="A24" s="285">
        <v>14</v>
      </c>
      <c r="B24" s="475" t="s">
        <v>97</v>
      </c>
      <c r="C24" s="475"/>
      <c r="D24" s="289"/>
      <c r="E24" s="289"/>
      <c r="F24" s="289"/>
      <c r="G24" s="289"/>
      <c r="H24" s="289"/>
      <c r="I24" s="289"/>
      <c r="J24" s="287">
        <f t="shared" si="0"/>
        <v>0</v>
      </c>
      <c r="K24" s="288">
        <f t="shared" si="1"/>
        <v>0</v>
      </c>
      <c r="L24" s="278">
        <f t="shared" si="2"/>
        <v>0</v>
      </c>
      <c r="M24" s="371">
        <f t="shared" si="3"/>
        <v>0</v>
      </c>
      <c r="N24" s="278">
        <f t="shared" si="4"/>
        <v>0</v>
      </c>
      <c r="O24" s="371">
        <f t="shared" si="5"/>
        <v>0</v>
      </c>
      <c r="P24" s="278">
        <f t="shared" si="6"/>
        <v>0</v>
      </c>
    </row>
    <row r="25" spans="1:16" ht="12.75">
      <c r="A25" s="285">
        <v>15</v>
      </c>
      <c r="B25" s="475" t="s">
        <v>98</v>
      </c>
      <c r="C25" s="475"/>
      <c r="D25" s="295"/>
      <c r="E25" s="289"/>
      <c r="F25" s="289"/>
      <c r="G25" s="289">
        <v>0.177</v>
      </c>
      <c r="H25" s="289"/>
      <c r="I25" s="289"/>
      <c r="J25" s="287">
        <f t="shared" si="0"/>
        <v>0.177</v>
      </c>
      <c r="K25" s="288">
        <f t="shared" si="1"/>
        <v>0</v>
      </c>
      <c r="L25" s="278">
        <f t="shared" si="2"/>
        <v>0</v>
      </c>
      <c r="M25" s="371">
        <f t="shared" si="3"/>
        <v>0.177</v>
      </c>
      <c r="N25" s="278">
        <f t="shared" si="4"/>
        <v>177</v>
      </c>
      <c r="O25" s="371">
        <f t="shared" si="5"/>
        <v>0</v>
      </c>
      <c r="P25" s="278">
        <f t="shared" si="6"/>
        <v>0</v>
      </c>
    </row>
    <row r="26" spans="1:16" ht="12.75">
      <c r="A26" s="285">
        <v>16</v>
      </c>
      <c r="B26" s="475" t="s">
        <v>99</v>
      </c>
      <c r="C26" s="475"/>
      <c r="D26" s="289">
        <v>40</v>
      </c>
      <c r="E26" s="289"/>
      <c r="F26" s="289"/>
      <c r="G26" s="289"/>
      <c r="H26" s="289"/>
      <c r="I26" s="289"/>
      <c r="J26" s="287">
        <f t="shared" si="0"/>
        <v>40</v>
      </c>
      <c r="K26" s="288">
        <f t="shared" si="1"/>
        <v>40</v>
      </c>
      <c r="L26" s="278">
        <f t="shared" si="2"/>
        <v>40000</v>
      </c>
      <c r="M26" s="371">
        <f t="shared" si="3"/>
        <v>0</v>
      </c>
      <c r="N26" s="278">
        <f t="shared" si="4"/>
        <v>0</v>
      </c>
      <c r="O26" s="371">
        <f t="shared" si="5"/>
        <v>0</v>
      </c>
      <c r="P26" s="278">
        <f t="shared" si="6"/>
        <v>0</v>
      </c>
    </row>
    <row r="27" spans="1:16" ht="12.75">
      <c r="A27" s="285">
        <v>17</v>
      </c>
      <c r="B27" s="475" t="s">
        <v>101</v>
      </c>
      <c r="C27" s="475"/>
      <c r="D27" s="289"/>
      <c r="E27" s="289">
        <v>65</v>
      </c>
      <c r="F27" s="289"/>
      <c r="G27" s="289"/>
      <c r="H27" s="289"/>
      <c r="I27" s="289"/>
      <c r="J27" s="287">
        <f t="shared" si="0"/>
        <v>65</v>
      </c>
      <c r="K27" s="288">
        <f t="shared" si="1"/>
        <v>65</v>
      </c>
      <c r="L27" s="278">
        <f t="shared" si="2"/>
        <v>65000</v>
      </c>
      <c r="M27" s="371">
        <f t="shared" si="3"/>
        <v>0</v>
      </c>
      <c r="N27" s="278">
        <f t="shared" si="4"/>
        <v>0</v>
      </c>
      <c r="O27" s="371">
        <f t="shared" si="5"/>
        <v>0</v>
      </c>
      <c r="P27" s="278">
        <f t="shared" si="6"/>
        <v>0</v>
      </c>
    </row>
    <row r="28" spans="1:16" ht="12.75" customHeight="1">
      <c r="A28" s="285">
        <v>18</v>
      </c>
      <c r="B28" s="475" t="s">
        <v>100</v>
      </c>
      <c r="C28" s="475"/>
      <c r="D28" s="289"/>
      <c r="E28" s="289"/>
      <c r="F28" s="289"/>
      <c r="G28" s="289"/>
      <c r="H28" s="289"/>
      <c r="I28" s="289"/>
      <c r="J28" s="287">
        <f t="shared" si="0"/>
        <v>0</v>
      </c>
      <c r="K28" s="288">
        <f t="shared" si="1"/>
        <v>0</v>
      </c>
      <c r="L28" s="278">
        <f t="shared" si="2"/>
        <v>0</v>
      </c>
      <c r="M28" s="371">
        <f t="shared" si="3"/>
        <v>0</v>
      </c>
      <c r="N28" s="278">
        <f t="shared" si="4"/>
        <v>0</v>
      </c>
      <c r="O28" s="371">
        <f t="shared" si="5"/>
        <v>0</v>
      </c>
      <c r="P28" s="278">
        <f t="shared" si="6"/>
        <v>0</v>
      </c>
    </row>
    <row r="29" spans="1:16" ht="12.75">
      <c r="A29" s="285">
        <v>19</v>
      </c>
      <c r="B29" s="475" t="s">
        <v>102</v>
      </c>
      <c r="C29" s="475"/>
      <c r="D29" s="289">
        <v>1000</v>
      </c>
      <c r="E29" s="289">
        <v>2000</v>
      </c>
      <c r="F29" s="289"/>
      <c r="G29" s="289"/>
      <c r="H29" s="289"/>
      <c r="I29" s="289"/>
      <c r="J29" s="287">
        <f t="shared" si="0"/>
        <v>3000</v>
      </c>
      <c r="K29" s="288">
        <f t="shared" si="1"/>
        <v>3000</v>
      </c>
      <c r="L29" s="278">
        <f t="shared" si="2"/>
        <v>3000000</v>
      </c>
      <c r="M29" s="371">
        <f t="shared" si="3"/>
        <v>0</v>
      </c>
      <c r="N29" s="278">
        <f t="shared" si="4"/>
        <v>0</v>
      </c>
      <c r="O29" s="371">
        <f t="shared" si="5"/>
        <v>0</v>
      </c>
      <c r="P29" s="278">
        <f t="shared" si="6"/>
        <v>0</v>
      </c>
    </row>
    <row r="30" spans="1:16" ht="12.75">
      <c r="A30" s="285">
        <v>20</v>
      </c>
      <c r="B30" s="475" t="s">
        <v>103</v>
      </c>
      <c r="C30" s="475"/>
      <c r="D30" s="296"/>
      <c r="E30" s="289"/>
      <c r="F30" s="289"/>
      <c r="G30" s="289"/>
      <c r="H30" s="289"/>
      <c r="I30" s="289"/>
      <c r="J30" s="287">
        <f t="shared" si="0"/>
        <v>0</v>
      </c>
      <c r="K30" s="288">
        <f t="shared" si="1"/>
        <v>0</v>
      </c>
      <c r="L30" s="278">
        <f t="shared" si="2"/>
        <v>0</v>
      </c>
      <c r="M30" s="371">
        <f t="shared" si="3"/>
        <v>0</v>
      </c>
      <c r="N30" s="278">
        <f t="shared" si="4"/>
        <v>0</v>
      </c>
      <c r="O30" s="371">
        <f t="shared" si="5"/>
        <v>0</v>
      </c>
      <c r="P30" s="278">
        <f t="shared" si="6"/>
        <v>0</v>
      </c>
    </row>
    <row r="31" spans="1:16" ht="12.75">
      <c r="A31" s="285">
        <v>21</v>
      </c>
      <c r="B31" s="475" t="s">
        <v>104</v>
      </c>
      <c r="C31" s="475"/>
      <c r="D31" s="296">
        <v>70</v>
      </c>
      <c r="E31" s="289"/>
      <c r="F31" s="289"/>
      <c r="G31" s="289"/>
      <c r="H31" s="289"/>
      <c r="I31" s="289"/>
      <c r="J31" s="287">
        <f t="shared" si="0"/>
        <v>70</v>
      </c>
      <c r="K31" s="288">
        <f t="shared" si="1"/>
        <v>70</v>
      </c>
      <c r="L31" s="278">
        <f t="shared" si="2"/>
        <v>70000</v>
      </c>
      <c r="M31" s="371">
        <f t="shared" si="3"/>
        <v>0</v>
      </c>
      <c r="N31" s="278">
        <f t="shared" si="4"/>
        <v>0</v>
      </c>
      <c r="O31" s="371">
        <f t="shared" si="5"/>
        <v>0</v>
      </c>
      <c r="P31" s="278">
        <f t="shared" si="6"/>
        <v>0</v>
      </c>
    </row>
    <row r="32" spans="1:16" ht="12.75">
      <c r="A32" s="285">
        <v>22</v>
      </c>
      <c r="B32" s="475" t="s">
        <v>105</v>
      </c>
      <c r="C32" s="475"/>
      <c r="D32" s="296">
        <v>50</v>
      </c>
      <c r="E32" s="289">
        <v>25</v>
      </c>
      <c r="F32" s="289"/>
      <c r="G32" s="289"/>
      <c r="H32" s="289"/>
      <c r="I32" s="289"/>
      <c r="J32" s="287">
        <f t="shared" si="0"/>
        <v>75</v>
      </c>
      <c r="K32" s="288">
        <f t="shared" si="1"/>
        <v>75</v>
      </c>
      <c r="L32" s="278">
        <f t="shared" si="2"/>
        <v>75000</v>
      </c>
      <c r="M32" s="371">
        <f t="shared" si="3"/>
        <v>0</v>
      </c>
      <c r="N32" s="278">
        <f t="shared" si="4"/>
        <v>0</v>
      </c>
      <c r="O32" s="371">
        <f t="shared" si="5"/>
        <v>0</v>
      </c>
      <c r="P32" s="278">
        <f t="shared" si="6"/>
        <v>0</v>
      </c>
    </row>
    <row r="33" spans="1:16" ht="12.75">
      <c r="A33" s="285">
        <v>23</v>
      </c>
      <c r="B33" s="475" t="s">
        <v>106</v>
      </c>
      <c r="C33" s="475"/>
      <c r="D33" s="296"/>
      <c r="E33" s="289"/>
      <c r="F33" s="289">
        <v>0.075</v>
      </c>
      <c r="G33" s="289"/>
      <c r="H33" s="289"/>
      <c r="I33" s="289"/>
      <c r="J33" s="287">
        <f t="shared" si="0"/>
        <v>0.075</v>
      </c>
      <c r="K33" s="288">
        <f t="shared" si="1"/>
        <v>0</v>
      </c>
      <c r="L33" s="278">
        <f t="shared" si="2"/>
        <v>0</v>
      </c>
      <c r="M33" s="371">
        <f t="shared" si="3"/>
        <v>0.075</v>
      </c>
      <c r="N33" s="278">
        <f t="shared" si="4"/>
        <v>75</v>
      </c>
      <c r="O33" s="371">
        <f t="shared" si="5"/>
        <v>0</v>
      </c>
      <c r="P33" s="278">
        <f t="shared" si="6"/>
        <v>0</v>
      </c>
    </row>
    <row r="34" spans="1:16" ht="12.75">
      <c r="A34" s="285">
        <v>24</v>
      </c>
      <c r="B34" s="475" t="s">
        <v>107</v>
      </c>
      <c r="C34" s="475"/>
      <c r="D34" s="296">
        <v>100</v>
      </c>
      <c r="E34" s="289">
        <v>45</v>
      </c>
      <c r="F34" s="289"/>
      <c r="G34" s="289"/>
      <c r="H34" s="289"/>
      <c r="I34" s="289"/>
      <c r="J34" s="287">
        <f t="shared" si="0"/>
        <v>145</v>
      </c>
      <c r="K34" s="288">
        <f t="shared" si="1"/>
        <v>145</v>
      </c>
      <c r="L34" s="278">
        <f t="shared" si="2"/>
        <v>145000</v>
      </c>
      <c r="M34" s="371">
        <f t="shared" si="3"/>
        <v>0</v>
      </c>
      <c r="N34" s="278">
        <f t="shared" si="4"/>
        <v>0</v>
      </c>
      <c r="O34" s="371">
        <f t="shared" si="5"/>
        <v>0</v>
      </c>
      <c r="P34" s="278">
        <f t="shared" si="6"/>
        <v>0</v>
      </c>
    </row>
    <row r="35" spans="1:16" ht="12.75">
      <c r="A35" s="285">
        <v>25</v>
      </c>
      <c r="B35" s="475" t="s">
        <v>108</v>
      </c>
      <c r="C35" s="475"/>
      <c r="D35" s="296">
        <v>163.294</v>
      </c>
      <c r="E35" s="289"/>
      <c r="F35" s="289"/>
      <c r="G35" s="289"/>
      <c r="H35" s="289"/>
      <c r="I35" s="289"/>
      <c r="J35" s="287">
        <f t="shared" si="0"/>
        <v>163.294</v>
      </c>
      <c r="K35" s="288">
        <f t="shared" si="1"/>
        <v>163.294</v>
      </c>
      <c r="L35" s="278">
        <f t="shared" si="2"/>
        <v>163294</v>
      </c>
      <c r="M35" s="371">
        <f t="shared" si="3"/>
        <v>0</v>
      </c>
      <c r="N35" s="278">
        <f t="shared" si="4"/>
        <v>0</v>
      </c>
      <c r="O35" s="371">
        <f t="shared" si="5"/>
        <v>0</v>
      </c>
      <c r="P35" s="278">
        <f t="shared" si="6"/>
        <v>0</v>
      </c>
    </row>
    <row r="36" spans="1:16" ht="12.75">
      <c r="A36" s="285">
        <v>26</v>
      </c>
      <c r="B36" s="475" t="s">
        <v>134</v>
      </c>
      <c r="C36" s="475"/>
      <c r="D36" s="296">
        <v>70</v>
      </c>
      <c r="E36" s="289"/>
      <c r="F36" s="289"/>
      <c r="G36" s="289"/>
      <c r="H36" s="289"/>
      <c r="I36" s="289">
        <v>34.274</v>
      </c>
      <c r="J36" s="287">
        <f t="shared" si="0"/>
        <v>104.274</v>
      </c>
      <c r="K36" s="288">
        <f t="shared" si="1"/>
        <v>70</v>
      </c>
      <c r="L36" s="278">
        <f t="shared" si="2"/>
        <v>70000</v>
      </c>
      <c r="M36" s="371">
        <f t="shared" si="3"/>
        <v>0</v>
      </c>
      <c r="N36" s="278">
        <f t="shared" si="4"/>
        <v>0</v>
      </c>
      <c r="O36" s="371">
        <f t="shared" si="5"/>
        <v>34.274</v>
      </c>
      <c r="P36" s="278">
        <f t="shared" si="6"/>
        <v>34274</v>
      </c>
    </row>
    <row r="37" spans="1:16" ht="12.75">
      <c r="A37" s="285">
        <v>27</v>
      </c>
      <c r="B37" s="475" t="s">
        <v>111</v>
      </c>
      <c r="C37" s="475"/>
      <c r="D37" s="289">
        <v>80</v>
      </c>
      <c r="E37" s="289">
        <v>30</v>
      </c>
      <c r="F37" s="289"/>
      <c r="G37" s="289"/>
      <c r="H37" s="289"/>
      <c r="I37" s="289"/>
      <c r="J37" s="287">
        <f t="shared" si="0"/>
        <v>110</v>
      </c>
      <c r="K37" s="288">
        <f t="shared" si="1"/>
        <v>110</v>
      </c>
      <c r="L37" s="278">
        <f t="shared" si="2"/>
        <v>110000</v>
      </c>
      <c r="M37" s="371">
        <f t="shared" si="3"/>
        <v>0</v>
      </c>
      <c r="N37" s="278">
        <f t="shared" si="4"/>
        <v>0</v>
      </c>
      <c r="O37" s="371">
        <f t="shared" si="5"/>
        <v>0</v>
      </c>
      <c r="P37" s="278">
        <f t="shared" si="6"/>
        <v>0</v>
      </c>
    </row>
    <row r="38" spans="1:16" ht="12.75">
      <c r="A38" s="285">
        <v>28</v>
      </c>
      <c r="B38" s="475" t="s">
        <v>112</v>
      </c>
      <c r="C38" s="475"/>
      <c r="D38" s="289">
        <v>20</v>
      </c>
      <c r="E38" s="289"/>
      <c r="F38" s="289"/>
      <c r="G38" s="289"/>
      <c r="H38" s="289"/>
      <c r="I38" s="289"/>
      <c r="J38" s="287">
        <f t="shared" si="0"/>
        <v>20</v>
      </c>
      <c r="K38" s="288">
        <f t="shared" si="1"/>
        <v>20</v>
      </c>
      <c r="L38" s="278">
        <f t="shared" si="2"/>
        <v>20000</v>
      </c>
      <c r="M38" s="371">
        <f t="shared" si="3"/>
        <v>0</v>
      </c>
      <c r="N38" s="278">
        <f t="shared" si="4"/>
        <v>0</v>
      </c>
      <c r="O38" s="371">
        <f t="shared" si="5"/>
        <v>0</v>
      </c>
      <c r="P38" s="278">
        <f t="shared" si="6"/>
        <v>0</v>
      </c>
    </row>
    <row r="39" spans="1:16" s="290" customFormat="1" ht="12.75">
      <c r="A39" s="477" t="s">
        <v>315</v>
      </c>
      <c r="B39" s="477"/>
      <c r="C39" s="477"/>
      <c r="D39" s="287">
        <f aca="true" t="shared" si="7" ref="D39:I39">SUM(D11:D38)</f>
        <v>2499.294</v>
      </c>
      <c r="E39" s="287">
        <f t="shared" si="7"/>
        <v>2454</v>
      </c>
      <c r="F39" s="287">
        <f t="shared" si="7"/>
        <v>0.23199999999999998</v>
      </c>
      <c r="G39" s="287">
        <f t="shared" si="7"/>
        <v>0.177</v>
      </c>
      <c r="H39" s="287">
        <f t="shared" si="7"/>
        <v>9.186</v>
      </c>
      <c r="I39" s="287">
        <f t="shared" si="7"/>
        <v>37.447</v>
      </c>
      <c r="J39" s="287">
        <f t="shared" si="0"/>
        <v>5000.335999999999</v>
      </c>
      <c r="K39" s="288">
        <f t="shared" si="1"/>
        <v>4953.294</v>
      </c>
      <c r="L39" s="278">
        <f t="shared" si="2"/>
        <v>4953294</v>
      </c>
      <c r="M39" s="371">
        <f t="shared" si="3"/>
        <v>9.595</v>
      </c>
      <c r="N39" s="278">
        <f t="shared" si="4"/>
        <v>9595</v>
      </c>
      <c r="O39" s="371">
        <f t="shared" si="5"/>
        <v>37.447</v>
      </c>
      <c r="P39" s="278">
        <f t="shared" si="6"/>
        <v>37447</v>
      </c>
    </row>
    <row r="40" spans="1:16" ht="12.75">
      <c r="A40" s="285">
        <v>29</v>
      </c>
      <c r="B40" s="475" t="s">
        <v>114</v>
      </c>
      <c r="C40" s="475"/>
      <c r="D40" s="289"/>
      <c r="E40" s="289">
        <v>26</v>
      </c>
      <c r="F40" s="289"/>
      <c r="G40" s="289"/>
      <c r="H40" s="289"/>
      <c r="I40" s="289"/>
      <c r="J40" s="287">
        <f t="shared" si="0"/>
        <v>26</v>
      </c>
      <c r="K40" s="288">
        <f t="shared" si="1"/>
        <v>26</v>
      </c>
      <c r="L40" s="278">
        <f t="shared" si="2"/>
        <v>26000</v>
      </c>
      <c r="M40" s="371">
        <f t="shared" si="3"/>
        <v>0</v>
      </c>
      <c r="N40" s="278">
        <f t="shared" si="4"/>
        <v>0</v>
      </c>
      <c r="O40" s="371">
        <f t="shared" si="5"/>
        <v>0</v>
      </c>
      <c r="P40" s="278">
        <f t="shared" si="6"/>
        <v>0</v>
      </c>
    </row>
    <row r="41" spans="1:16" ht="12.75">
      <c r="A41" s="285">
        <v>30</v>
      </c>
      <c r="B41" s="475" t="s">
        <v>115</v>
      </c>
      <c r="C41" s="475"/>
      <c r="D41" s="289">
        <v>30</v>
      </c>
      <c r="E41" s="289">
        <v>60</v>
      </c>
      <c r="F41" s="289"/>
      <c r="G41" s="289"/>
      <c r="H41" s="289"/>
      <c r="I41" s="289"/>
      <c r="J41" s="287">
        <f t="shared" si="0"/>
        <v>90</v>
      </c>
      <c r="K41" s="288">
        <f t="shared" si="1"/>
        <v>90</v>
      </c>
      <c r="L41" s="278">
        <f t="shared" si="2"/>
        <v>90000</v>
      </c>
      <c r="M41" s="371">
        <f t="shared" si="3"/>
        <v>0</v>
      </c>
      <c r="N41" s="278">
        <f t="shared" si="4"/>
        <v>0</v>
      </c>
      <c r="O41" s="371">
        <f t="shared" si="5"/>
        <v>0</v>
      </c>
      <c r="P41" s="278">
        <f t="shared" si="6"/>
        <v>0</v>
      </c>
    </row>
    <row r="42" spans="1:16" ht="12.75">
      <c r="A42" s="285">
        <v>31</v>
      </c>
      <c r="B42" s="475" t="s">
        <v>316</v>
      </c>
      <c r="C42" s="475"/>
      <c r="D42" s="289"/>
      <c r="E42" s="289"/>
      <c r="F42" s="289"/>
      <c r="G42" s="289"/>
      <c r="H42" s="289"/>
      <c r="I42" s="289"/>
      <c r="J42" s="287">
        <f t="shared" si="0"/>
        <v>0</v>
      </c>
      <c r="K42" s="288">
        <f t="shared" si="1"/>
        <v>0</v>
      </c>
      <c r="L42" s="278">
        <f t="shared" si="2"/>
        <v>0</v>
      </c>
      <c r="M42" s="371">
        <f t="shared" si="3"/>
        <v>0</v>
      </c>
      <c r="N42" s="278">
        <f t="shared" si="4"/>
        <v>0</v>
      </c>
      <c r="O42" s="371">
        <f t="shared" si="5"/>
        <v>0</v>
      </c>
      <c r="P42" s="278">
        <f t="shared" si="6"/>
        <v>0</v>
      </c>
    </row>
    <row r="43" spans="1:16" ht="12.75">
      <c r="A43" s="285">
        <v>32</v>
      </c>
      <c r="B43" s="475" t="s">
        <v>317</v>
      </c>
      <c r="C43" s="475"/>
      <c r="D43" s="289">
        <v>100</v>
      </c>
      <c r="E43" s="289">
        <v>40</v>
      </c>
      <c r="F43" s="289"/>
      <c r="G43" s="289"/>
      <c r="H43" s="289"/>
      <c r="I43" s="289"/>
      <c r="J43" s="287">
        <f t="shared" si="0"/>
        <v>140</v>
      </c>
      <c r="K43" s="288">
        <f t="shared" si="1"/>
        <v>140</v>
      </c>
      <c r="L43" s="278">
        <f t="shared" si="2"/>
        <v>140000</v>
      </c>
      <c r="M43" s="371">
        <f t="shared" si="3"/>
        <v>0</v>
      </c>
      <c r="N43" s="278">
        <f t="shared" si="4"/>
        <v>0</v>
      </c>
      <c r="O43" s="371">
        <f t="shared" si="5"/>
        <v>0</v>
      </c>
      <c r="P43" s="278">
        <f t="shared" si="6"/>
        <v>0</v>
      </c>
    </row>
    <row r="44" spans="1:16" ht="12.75">
      <c r="A44" s="285">
        <v>33</v>
      </c>
      <c r="B44" s="475" t="s">
        <v>318</v>
      </c>
      <c r="C44" s="475"/>
      <c r="D44" s="289">
        <v>35</v>
      </c>
      <c r="E44" s="289"/>
      <c r="F44" s="289"/>
      <c r="G44" s="289"/>
      <c r="H44" s="289"/>
      <c r="I44" s="289"/>
      <c r="J44" s="287">
        <f t="shared" si="0"/>
        <v>35</v>
      </c>
      <c r="K44" s="288">
        <f t="shared" si="1"/>
        <v>35</v>
      </c>
      <c r="L44" s="278">
        <f t="shared" si="2"/>
        <v>35000</v>
      </c>
      <c r="M44" s="371">
        <f t="shared" si="3"/>
        <v>0</v>
      </c>
      <c r="N44" s="278">
        <f t="shared" si="4"/>
        <v>0</v>
      </c>
      <c r="O44" s="371">
        <f t="shared" si="5"/>
        <v>0</v>
      </c>
      <c r="P44" s="278">
        <f t="shared" si="6"/>
        <v>0</v>
      </c>
    </row>
    <row r="45" spans="1:16" ht="12.75">
      <c r="A45" s="285">
        <v>34</v>
      </c>
      <c r="B45" s="475" t="s">
        <v>119</v>
      </c>
      <c r="C45" s="475"/>
      <c r="D45" s="289">
        <v>56</v>
      </c>
      <c r="E45" s="289">
        <v>10</v>
      </c>
      <c r="F45" s="289"/>
      <c r="G45" s="289"/>
      <c r="H45" s="289"/>
      <c r="I45" s="289"/>
      <c r="J45" s="287">
        <f t="shared" si="0"/>
        <v>66</v>
      </c>
      <c r="K45" s="288">
        <f t="shared" si="1"/>
        <v>66</v>
      </c>
      <c r="L45" s="278">
        <f t="shared" si="2"/>
        <v>66000</v>
      </c>
      <c r="M45" s="371">
        <f t="shared" si="3"/>
        <v>0</v>
      </c>
      <c r="N45" s="278">
        <f t="shared" si="4"/>
        <v>0</v>
      </c>
      <c r="O45" s="371">
        <f t="shared" si="5"/>
        <v>0</v>
      </c>
      <c r="P45" s="278">
        <f t="shared" si="6"/>
        <v>0</v>
      </c>
    </row>
    <row r="46" spans="1:16" ht="12.75">
      <c r="A46" s="285">
        <v>35</v>
      </c>
      <c r="B46" s="475" t="s">
        <v>319</v>
      </c>
      <c r="C46" s="475"/>
      <c r="D46" s="289">
        <v>65</v>
      </c>
      <c r="E46" s="289"/>
      <c r="F46" s="289"/>
      <c r="G46" s="289"/>
      <c r="H46" s="289"/>
      <c r="I46" s="289"/>
      <c r="J46" s="287">
        <f t="shared" si="0"/>
        <v>65</v>
      </c>
      <c r="K46" s="288">
        <f t="shared" si="1"/>
        <v>65</v>
      </c>
      <c r="L46" s="278">
        <f t="shared" si="2"/>
        <v>65000</v>
      </c>
      <c r="M46" s="371">
        <f t="shared" si="3"/>
        <v>0</v>
      </c>
      <c r="N46" s="278">
        <f t="shared" si="4"/>
        <v>0</v>
      </c>
      <c r="O46" s="371">
        <f t="shared" si="5"/>
        <v>0</v>
      </c>
      <c r="P46" s="278">
        <f t="shared" si="6"/>
        <v>0</v>
      </c>
    </row>
    <row r="47" spans="1:16" ht="12.75">
      <c r="A47" s="285">
        <v>36</v>
      </c>
      <c r="B47" s="475" t="s">
        <v>320</v>
      </c>
      <c r="C47" s="475"/>
      <c r="D47" s="289">
        <v>60</v>
      </c>
      <c r="E47" s="289">
        <v>40</v>
      </c>
      <c r="F47" s="289"/>
      <c r="G47" s="289"/>
      <c r="H47" s="289"/>
      <c r="I47" s="289"/>
      <c r="J47" s="287">
        <f t="shared" si="0"/>
        <v>100</v>
      </c>
      <c r="K47" s="288">
        <f t="shared" si="1"/>
        <v>100</v>
      </c>
      <c r="L47" s="278">
        <f t="shared" si="2"/>
        <v>100000</v>
      </c>
      <c r="M47" s="371">
        <f t="shared" si="3"/>
        <v>0</v>
      </c>
      <c r="N47" s="278">
        <f t="shared" si="4"/>
        <v>0</v>
      </c>
      <c r="O47" s="371">
        <f t="shared" si="5"/>
        <v>0</v>
      </c>
      <c r="P47" s="278">
        <f t="shared" si="6"/>
        <v>0</v>
      </c>
    </row>
    <row r="48" spans="1:16" ht="12.75">
      <c r="A48" s="285">
        <v>37</v>
      </c>
      <c r="B48" s="475" t="s">
        <v>122</v>
      </c>
      <c r="C48" s="475"/>
      <c r="D48" s="289">
        <v>135</v>
      </c>
      <c r="E48" s="289"/>
      <c r="F48" s="289">
        <v>0.114</v>
      </c>
      <c r="G48" s="289"/>
      <c r="H48" s="289"/>
      <c r="I48" s="289"/>
      <c r="J48" s="287">
        <f t="shared" si="0"/>
        <v>135.114</v>
      </c>
      <c r="K48" s="288">
        <f t="shared" si="1"/>
        <v>135</v>
      </c>
      <c r="L48" s="278">
        <f t="shared" si="2"/>
        <v>135000</v>
      </c>
      <c r="M48" s="371">
        <f t="shared" si="3"/>
        <v>0.114</v>
      </c>
      <c r="N48" s="278">
        <f t="shared" si="4"/>
        <v>114</v>
      </c>
      <c r="O48" s="371">
        <f t="shared" si="5"/>
        <v>0</v>
      </c>
      <c r="P48" s="278">
        <f t="shared" si="6"/>
        <v>0</v>
      </c>
    </row>
    <row r="49" spans="1:16" ht="12.75">
      <c r="A49" s="285">
        <v>38</v>
      </c>
      <c r="B49" s="475" t="s">
        <v>321</v>
      </c>
      <c r="C49" s="475"/>
      <c r="D49" s="289">
        <v>50</v>
      </c>
      <c r="E49" s="289">
        <v>30</v>
      </c>
      <c r="F49" s="289"/>
      <c r="G49" s="289"/>
      <c r="H49" s="289"/>
      <c r="I49" s="289"/>
      <c r="J49" s="287">
        <f t="shared" si="0"/>
        <v>80</v>
      </c>
      <c r="K49" s="288">
        <f t="shared" si="1"/>
        <v>80</v>
      </c>
      <c r="L49" s="278">
        <f t="shared" si="2"/>
        <v>80000</v>
      </c>
      <c r="M49" s="371">
        <f t="shared" si="3"/>
        <v>0</v>
      </c>
      <c r="N49" s="278">
        <f t="shared" si="4"/>
        <v>0</v>
      </c>
      <c r="O49" s="371">
        <f t="shared" si="5"/>
        <v>0</v>
      </c>
      <c r="P49" s="278">
        <f t="shared" si="6"/>
        <v>0</v>
      </c>
    </row>
    <row r="50" spans="1:16" ht="12.75">
      <c r="A50" s="285">
        <v>39</v>
      </c>
      <c r="B50" s="475" t="s">
        <v>322</v>
      </c>
      <c r="C50" s="475"/>
      <c r="D50" s="289">
        <v>45</v>
      </c>
      <c r="E50" s="289"/>
      <c r="F50" s="289"/>
      <c r="G50" s="289"/>
      <c r="H50" s="289"/>
      <c r="I50" s="289"/>
      <c r="J50" s="287">
        <f t="shared" si="0"/>
        <v>45</v>
      </c>
      <c r="K50" s="288">
        <f t="shared" si="1"/>
        <v>45</v>
      </c>
      <c r="L50" s="278">
        <f t="shared" si="2"/>
        <v>45000</v>
      </c>
      <c r="M50" s="371">
        <f t="shared" si="3"/>
        <v>0</v>
      </c>
      <c r="N50" s="278">
        <f t="shared" si="4"/>
        <v>0</v>
      </c>
      <c r="O50" s="371">
        <f t="shared" si="5"/>
        <v>0</v>
      </c>
      <c r="P50" s="278">
        <f t="shared" si="6"/>
        <v>0</v>
      </c>
    </row>
    <row r="51" spans="1:16" ht="12.75">
      <c r="A51" s="285">
        <v>40</v>
      </c>
      <c r="B51" s="475" t="s">
        <v>323</v>
      </c>
      <c r="C51" s="475"/>
      <c r="D51" s="289">
        <v>40</v>
      </c>
      <c r="E51" s="289"/>
      <c r="F51" s="289"/>
      <c r="G51" s="289"/>
      <c r="H51" s="289"/>
      <c r="I51" s="289"/>
      <c r="J51" s="287">
        <f t="shared" si="0"/>
        <v>40</v>
      </c>
      <c r="K51" s="288">
        <f t="shared" si="1"/>
        <v>40</v>
      </c>
      <c r="L51" s="278">
        <f t="shared" si="2"/>
        <v>40000</v>
      </c>
      <c r="M51" s="371">
        <f t="shared" si="3"/>
        <v>0</v>
      </c>
      <c r="N51" s="278">
        <f t="shared" si="4"/>
        <v>0</v>
      </c>
      <c r="O51" s="371">
        <f t="shared" si="5"/>
        <v>0</v>
      </c>
      <c r="P51" s="278">
        <f t="shared" si="6"/>
        <v>0</v>
      </c>
    </row>
    <row r="52" spans="1:16" ht="12.75">
      <c r="A52" s="285">
        <v>41</v>
      </c>
      <c r="B52" s="475" t="s">
        <v>324</v>
      </c>
      <c r="C52" s="475"/>
      <c r="D52" s="289">
        <v>80</v>
      </c>
      <c r="E52" s="289"/>
      <c r="F52" s="289"/>
      <c r="G52" s="289"/>
      <c r="H52" s="289"/>
      <c r="I52" s="289"/>
      <c r="J52" s="287">
        <f t="shared" si="0"/>
        <v>80</v>
      </c>
      <c r="K52" s="288">
        <f t="shared" si="1"/>
        <v>80</v>
      </c>
      <c r="L52" s="278">
        <f t="shared" si="2"/>
        <v>80000</v>
      </c>
      <c r="M52" s="371">
        <f t="shared" si="3"/>
        <v>0</v>
      </c>
      <c r="N52" s="278">
        <f t="shared" si="4"/>
        <v>0</v>
      </c>
      <c r="O52" s="371">
        <f t="shared" si="5"/>
        <v>0</v>
      </c>
      <c r="P52" s="278">
        <f t="shared" si="6"/>
        <v>0</v>
      </c>
    </row>
    <row r="53" spans="1:16" ht="12.75">
      <c r="A53" s="285">
        <v>42</v>
      </c>
      <c r="B53" s="475" t="s">
        <v>325</v>
      </c>
      <c r="C53" s="475"/>
      <c r="D53" s="289">
        <v>30</v>
      </c>
      <c r="E53" s="289">
        <v>40</v>
      </c>
      <c r="F53" s="289"/>
      <c r="G53" s="289"/>
      <c r="H53" s="289"/>
      <c r="I53" s="289"/>
      <c r="J53" s="287">
        <f t="shared" si="0"/>
        <v>70</v>
      </c>
      <c r="K53" s="288">
        <f t="shared" si="1"/>
        <v>70</v>
      </c>
      <c r="L53" s="278">
        <f t="shared" si="2"/>
        <v>70000</v>
      </c>
      <c r="M53" s="371">
        <f t="shared" si="3"/>
        <v>0</v>
      </c>
      <c r="N53" s="278">
        <f t="shared" si="4"/>
        <v>0</v>
      </c>
      <c r="O53" s="371">
        <f t="shared" si="5"/>
        <v>0</v>
      </c>
      <c r="P53" s="278">
        <f t="shared" si="6"/>
        <v>0</v>
      </c>
    </row>
    <row r="54" spans="1:16" ht="12.75">
      <c r="A54" s="285">
        <v>43</v>
      </c>
      <c r="B54" s="475" t="s">
        <v>326</v>
      </c>
      <c r="C54" s="475"/>
      <c r="D54" s="289">
        <v>35</v>
      </c>
      <c r="E54" s="289">
        <v>30</v>
      </c>
      <c r="F54" s="289"/>
      <c r="G54" s="289"/>
      <c r="H54" s="289"/>
      <c r="I54" s="289"/>
      <c r="J54" s="287">
        <f t="shared" si="0"/>
        <v>65</v>
      </c>
      <c r="K54" s="288">
        <f t="shared" si="1"/>
        <v>65</v>
      </c>
      <c r="L54" s="278">
        <f t="shared" si="2"/>
        <v>65000</v>
      </c>
      <c r="M54" s="371">
        <f t="shared" si="3"/>
        <v>0</v>
      </c>
      <c r="N54" s="278">
        <f t="shared" si="4"/>
        <v>0</v>
      </c>
      <c r="O54" s="371">
        <f t="shared" si="5"/>
        <v>0</v>
      </c>
      <c r="P54" s="278">
        <f t="shared" si="6"/>
        <v>0</v>
      </c>
    </row>
    <row r="55" spans="1:16" ht="12.75">
      <c r="A55" s="285">
        <v>44</v>
      </c>
      <c r="B55" s="475" t="s">
        <v>327</v>
      </c>
      <c r="C55" s="475"/>
      <c r="D55" s="289">
        <v>30</v>
      </c>
      <c r="E55" s="289">
        <v>35</v>
      </c>
      <c r="F55" s="289"/>
      <c r="G55" s="289"/>
      <c r="H55" s="289"/>
      <c r="I55" s="289"/>
      <c r="J55" s="287">
        <f t="shared" si="0"/>
        <v>65</v>
      </c>
      <c r="K55" s="288">
        <f t="shared" si="1"/>
        <v>65</v>
      </c>
      <c r="L55" s="278">
        <f t="shared" si="2"/>
        <v>65000</v>
      </c>
      <c r="M55" s="371">
        <f t="shared" si="3"/>
        <v>0</v>
      </c>
      <c r="N55" s="278">
        <f t="shared" si="4"/>
        <v>0</v>
      </c>
      <c r="O55" s="371">
        <f t="shared" si="5"/>
        <v>0</v>
      </c>
      <c r="P55" s="278">
        <f t="shared" si="6"/>
        <v>0</v>
      </c>
    </row>
    <row r="56" spans="1:16" ht="12.75">
      <c r="A56" s="285">
        <v>45</v>
      </c>
      <c r="B56" s="475" t="s">
        <v>129</v>
      </c>
      <c r="C56" s="475"/>
      <c r="D56" s="289">
        <v>30</v>
      </c>
      <c r="E56" s="289"/>
      <c r="F56" s="289"/>
      <c r="G56" s="289"/>
      <c r="H56" s="289"/>
      <c r="I56" s="289"/>
      <c r="J56" s="287">
        <f t="shared" si="0"/>
        <v>30</v>
      </c>
      <c r="K56" s="288">
        <f t="shared" si="1"/>
        <v>30</v>
      </c>
      <c r="L56" s="278">
        <f t="shared" si="2"/>
        <v>30000</v>
      </c>
      <c r="M56" s="371">
        <f t="shared" si="3"/>
        <v>0</v>
      </c>
      <c r="N56" s="278">
        <f t="shared" si="4"/>
        <v>0</v>
      </c>
      <c r="O56" s="371">
        <f t="shared" si="5"/>
        <v>0</v>
      </c>
      <c r="P56" s="278">
        <f t="shared" si="6"/>
        <v>0</v>
      </c>
    </row>
    <row r="57" spans="1:16" s="290" customFormat="1" ht="12.75">
      <c r="A57" s="476" t="s">
        <v>328</v>
      </c>
      <c r="B57" s="476"/>
      <c r="C57" s="476"/>
      <c r="D57" s="287">
        <f aca="true" t="shared" si="8" ref="D57:I57">SUM(D40:D56)</f>
        <v>821</v>
      </c>
      <c r="E57" s="287">
        <f t="shared" si="8"/>
        <v>311</v>
      </c>
      <c r="F57" s="287">
        <f>SUM(F40:F56)</f>
        <v>0.114</v>
      </c>
      <c r="G57" s="287">
        <f t="shared" si="8"/>
        <v>0</v>
      </c>
      <c r="H57" s="287">
        <f t="shared" si="8"/>
        <v>0</v>
      </c>
      <c r="I57" s="287">
        <f t="shared" si="8"/>
        <v>0</v>
      </c>
      <c r="J57" s="287">
        <f t="shared" si="0"/>
        <v>1132.114</v>
      </c>
      <c r="K57" s="288">
        <f t="shared" si="1"/>
        <v>1132</v>
      </c>
      <c r="L57" s="278">
        <f t="shared" si="2"/>
        <v>1132000</v>
      </c>
      <c r="M57" s="371">
        <f t="shared" si="3"/>
        <v>0.114</v>
      </c>
      <c r="N57" s="278">
        <f t="shared" si="4"/>
        <v>114</v>
      </c>
      <c r="O57" s="371">
        <f t="shared" si="5"/>
        <v>0</v>
      </c>
      <c r="P57" s="278">
        <f t="shared" si="6"/>
        <v>0</v>
      </c>
    </row>
    <row r="58" spans="1:16" s="290" customFormat="1" ht="12.75">
      <c r="A58" s="476" t="s">
        <v>329</v>
      </c>
      <c r="B58" s="476"/>
      <c r="C58" s="476"/>
      <c r="D58" s="287">
        <f aca="true" t="shared" si="9" ref="D58:I58">D57+D39</f>
        <v>3320.294</v>
      </c>
      <c r="E58" s="287">
        <f t="shared" si="9"/>
        <v>2765</v>
      </c>
      <c r="F58" s="287">
        <f t="shared" si="9"/>
        <v>0.346</v>
      </c>
      <c r="G58" s="287">
        <f t="shared" si="9"/>
        <v>0.177</v>
      </c>
      <c r="H58" s="287">
        <f t="shared" si="9"/>
        <v>9.186</v>
      </c>
      <c r="I58" s="287">
        <f t="shared" si="9"/>
        <v>37.447</v>
      </c>
      <c r="J58" s="287">
        <f t="shared" si="0"/>
        <v>6132.449999999999</v>
      </c>
      <c r="K58" s="288">
        <f t="shared" si="1"/>
        <v>6085.294</v>
      </c>
      <c r="L58" s="278">
        <f t="shared" si="2"/>
        <v>6085294</v>
      </c>
      <c r="M58" s="371">
        <f t="shared" si="3"/>
        <v>9.709</v>
      </c>
      <c r="N58" s="278">
        <f t="shared" si="4"/>
        <v>9709</v>
      </c>
      <c r="O58" s="371">
        <f t="shared" si="5"/>
        <v>37.447</v>
      </c>
      <c r="P58" s="278">
        <f t="shared" si="6"/>
        <v>37447</v>
      </c>
    </row>
    <row r="60" ht="12.75">
      <c r="J60" s="288">
        <f>'№1'!C47+'№1'!F58</f>
        <v>6632.45</v>
      </c>
    </row>
    <row r="75" ht="12.75">
      <c r="B75" s="268"/>
    </row>
  </sheetData>
  <mergeCells count="62">
    <mergeCell ref="F7:I7"/>
    <mergeCell ref="F8:F9"/>
    <mergeCell ref="G8:G9"/>
    <mergeCell ref="H8:I9"/>
    <mergeCell ref="A4:J4"/>
    <mergeCell ref="A6:A9"/>
    <mergeCell ref="B6:C6"/>
    <mergeCell ref="J6:J10"/>
    <mergeCell ref="B7:C7"/>
    <mergeCell ref="B8:C8"/>
    <mergeCell ref="D8:D9"/>
    <mergeCell ref="E8:E9"/>
    <mergeCell ref="B10:C10"/>
    <mergeCell ref="F6:I6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5:C45"/>
    <mergeCell ref="B46:C46"/>
    <mergeCell ref="A39:C39"/>
    <mergeCell ref="B40:C40"/>
    <mergeCell ref="B41:C41"/>
    <mergeCell ref="B42:C42"/>
    <mergeCell ref="B43:C43"/>
    <mergeCell ref="B44:C44"/>
    <mergeCell ref="A57:C57"/>
    <mergeCell ref="A58:C58"/>
    <mergeCell ref="B51:C5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</mergeCells>
  <printOptions/>
  <pageMargins left="1.1811023622047245" right="0.3937007874015748" top="0.7874015748031497" bottom="0.7874015748031497" header="0.2362204724409449" footer="0.1968503937007874"/>
  <pageSetup fitToHeight="1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B3" sqref="B3"/>
    </sheetView>
  </sheetViews>
  <sheetFormatPr defaultColWidth="9.00390625" defaultRowHeight="12.75"/>
  <cols>
    <col min="1" max="1" width="41.625" style="268" customWidth="1"/>
    <col min="2" max="2" width="31.375" style="268" customWidth="1"/>
    <col min="3" max="3" width="19.25390625" style="268" customWidth="1"/>
    <col min="4" max="4" width="17.75390625" style="268" customWidth="1"/>
    <col min="5" max="5" width="13.25390625" style="268" customWidth="1"/>
    <col min="6" max="6" width="17.75390625" style="268" hidden="1" customWidth="1"/>
    <col min="7" max="7" width="12.75390625" style="268" customWidth="1"/>
    <col min="8" max="8" width="17.75390625" style="268" customWidth="1"/>
    <col min="9" max="9" width="10.875" style="268" customWidth="1"/>
    <col min="10" max="10" width="15.25390625" style="268" hidden="1" customWidth="1"/>
    <col min="11" max="11" width="4.875" style="268" hidden="1" customWidth="1"/>
    <col min="12" max="12" width="14.00390625" style="268" hidden="1" customWidth="1"/>
    <col min="13" max="16384" width="8.875" style="268" customWidth="1"/>
  </cols>
  <sheetData>
    <row r="1" spans="2:13" ht="13.5" customHeight="1">
      <c r="B1" s="5" t="s">
        <v>407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2.75">
      <c r="B2" s="3" t="s">
        <v>402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">
      <c r="B3" s="526" t="s">
        <v>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2" ht="12.75">
      <c r="A4" s="473"/>
      <c r="B4" s="473"/>
      <c r="C4" s="473"/>
      <c r="D4" s="473"/>
      <c r="E4" s="473"/>
      <c r="F4" s="5"/>
      <c r="G4" s="5"/>
      <c r="H4" s="5"/>
      <c r="I4" s="5"/>
      <c r="J4" s="5"/>
      <c r="K4" s="5"/>
      <c r="L4" s="5"/>
    </row>
    <row r="5" ht="12.75">
      <c r="L5" s="5"/>
    </row>
    <row r="6" spans="1:14" ht="87.75" customHeight="1">
      <c r="A6" s="512" t="s">
        <v>408</v>
      </c>
      <c r="B6" s="512"/>
      <c r="C6" s="320"/>
      <c r="D6" s="320"/>
      <c r="E6" s="320"/>
      <c r="F6" s="320"/>
      <c r="G6" s="320"/>
      <c r="H6" s="320"/>
      <c r="I6" s="320"/>
      <c r="J6" s="321"/>
      <c r="K6" s="321"/>
      <c r="L6" s="320"/>
      <c r="M6" s="322"/>
      <c r="N6" s="322"/>
    </row>
    <row r="7" spans="2:12" ht="13.5" customHeight="1" thickBot="1">
      <c r="B7" s="323"/>
      <c r="L7" s="269"/>
    </row>
    <row r="8" spans="1:14" ht="12.75" customHeight="1">
      <c r="A8" s="477" t="s">
        <v>403</v>
      </c>
      <c r="B8" s="513" t="s">
        <v>404</v>
      </c>
      <c r="C8" s="510"/>
      <c r="D8" s="510"/>
      <c r="E8" s="324"/>
      <c r="F8" s="325"/>
      <c r="G8" s="508"/>
      <c r="H8" s="509"/>
      <c r="I8" s="510"/>
      <c r="J8" s="511"/>
      <c r="K8" s="503"/>
      <c r="L8" s="505"/>
      <c r="M8" s="507"/>
      <c r="N8" s="507"/>
    </row>
    <row r="9" spans="1:14" ht="13.5" thickBot="1">
      <c r="A9" s="477"/>
      <c r="B9" s="513"/>
      <c r="C9" s="510"/>
      <c r="D9" s="510"/>
      <c r="E9" s="324"/>
      <c r="F9" s="324"/>
      <c r="G9" s="508"/>
      <c r="H9" s="509"/>
      <c r="I9" s="510"/>
      <c r="J9" s="511"/>
      <c r="K9" s="504"/>
      <c r="L9" s="506"/>
      <c r="M9" s="326"/>
      <c r="N9" s="326"/>
    </row>
    <row r="10" spans="1:12" s="333" customFormat="1" ht="16.5" thickBot="1">
      <c r="A10" s="20" t="s">
        <v>405</v>
      </c>
      <c r="B10" s="327">
        <v>100</v>
      </c>
      <c r="C10" s="334"/>
      <c r="D10" s="334"/>
      <c r="E10" s="328"/>
      <c r="F10" s="328"/>
      <c r="G10" s="328"/>
      <c r="H10" s="329"/>
      <c r="I10" s="328"/>
      <c r="J10" s="330"/>
      <c r="K10" s="331"/>
      <c r="L10" s="332"/>
    </row>
    <row r="11" spans="1:12" s="333" customFormat="1" ht="16.5" thickBot="1">
      <c r="A11" s="47" t="s">
        <v>406</v>
      </c>
      <c r="B11" s="335">
        <f>SUM(B10:B10)</f>
        <v>100</v>
      </c>
      <c r="C11" s="336"/>
      <c r="D11" s="336"/>
      <c r="E11" s="336"/>
      <c r="F11" s="336"/>
      <c r="G11" s="336"/>
      <c r="H11" s="337"/>
      <c r="I11" s="336"/>
      <c r="J11" s="338"/>
      <c r="K11" s="339"/>
      <c r="L11" s="340"/>
    </row>
    <row r="13" ht="15.75">
      <c r="B13" s="341"/>
    </row>
    <row r="14" ht="15.75">
      <c r="B14" s="341"/>
    </row>
    <row r="15" ht="15.75">
      <c r="B15" s="342"/>
    </row>
    <row r="16" ht="15.75">
      <c r="B16" s="225"/>
    </row>
    <row r="17" ht="15.75">
      <c r="B17" s="342"/>
    </row>
    <row r="18" ht="15.75">
      <c r="B18" s="342"/>
    </row>
    <row r="19" ht="15.75">
      <c r="B19" s="225"/>
    </row>
    <row r="20" ht="15.75">
      <c r="B20" s="342"/>
    </row>
  </sheetData>
  <mergeCells count="13">
    <mergeCell ref="A4:E4"/>
    <mergeCell ref="A6:B6"/>
    <mergeCell ref="A8:A9"/>
    <mergeCell ref="B8:B9"/>
    <mergeCell ref="C8:C9"/>
    <mergeCell ref="D8:D9"/>
    <mergeCell ref="K8:K9"/>
    <mergeCell ref="L8:L9"/>
    <mergeCell ref="M8:N8"/>
    <mergeCell ref="G8:G9"/>
    <mergeCell ref="H8:H9"/>
    <mergeCell ref="I8:I9"/>
    <mergeCell ref="J8:J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39"/>
  <sheetViews>
    <sheetView view="pageBreakPreview" zoomScaleSheetLayoutView="100" workbookViewId="0" topLeftCell="A1">
      <selection activeCell="B3" sqref="B3"/>
    </sheetView>
  </sheetViews>
  <sheetFormatPr defaultColWidth="9.00390625" defaultRowHeight="12.75"/>
  <cols>
    <col min="1" max="1" width="61.875" style="350" customWidth="1"/>
    <col min="2" max="2" width="62.25390625" style="350" customWidth="1"/>
    <col min="3" max="3" width="14.25390625" style="0" bestFit="1" customWidth="1"/>
  </cols>
  <sheetData>
    <row r="1" spans="1:2" ht="15.75">
      <c r="A1" s="221"/>
      <c r="B1" s="219" t="s">
        <v>439</v>
      </c>
    </row>
    <row r="2" spans="1:2" ht="15.75">
      <c r="A2" s="221"/>
      <c r="B2" s="219" t="s">
        <v>440</v>
      </c>
    </row>
    <row r="3" spans="1:2" ht="15.75">
      <c r="A3" s="221"/>
      <c r="B3" s="221" t="s">
        <v>62</v>
      </c>
    </row>
    <row r="4" spans="1:2" ht="15.75">
      <c r="A4" s="221"/>
      <c r="B4" s="221"/>
    </row>
    <row r="5" spans="1:2" ht="15.75">
      <c r="A5" s="520" t="s">
        <v>471</v>
      </c>
      <c r="B5" s="520"/>
    </row>
    <row r="6" spans="1:2" ht="12.75">
      <c r="A6"/>
      <c r="B6"/>
    </row>
    <row r="8" spans="1:2" ht="15.75">
      <c r="A8" s="351" t="s">
        <v>441</v>
      </c>
      <c r="B8" s="351" t="s">
        <v>442</v>
      </c>
    </row>
    <row r="9" spans="1:3" ht="78.75">
      <c r="A9" s="351" t="s">
        <v>473</v>
      </c>
      <c r="B9" s="514" t="s">
        <v>472</v>
      </c>
      <c r="C9" s="516">
        <v>250344</v>
      </c>
    </row>
    <row r="10" spans="1:3" ht="78.75">
      <c r="A10" s="351" t="s">
        <v>474</v>
      </c>
      <c r="B10" s="515"/>
      <c r="C10" s="517"/>
    </row>
    <row r="11" spans="1:3" ht="31.5">
      <c r="A11" s="351" t="s">
        <v>475</v>
      </c>
      <c r="B11" s="351" t="s">
        <v>476</v>
      </c>
      <c r="C11" s="517"/>
    </row>
    <row r="12" spans="1:3" ht="31.5">
      <c r="A12" s="351" t="s">
        <v>477</v>
      </c>
      <c r="B12" s="351" t="s">
        <v>478</v>
      </c>
      <c r="C12" s="518"/>
    </row>
    <row r="13" spans="1:3" ht="31.5">
      <c r="A13" s="351"/>
      <c r="B13" s="351" t="s">
        <v>479</v>
      </c>
      <c r="C13" s="521">
        <v>150101</v>
      </c>
    </row>
    <row r="14" spans="1:3" ht="15.75">
      <c r="A14" s="352"/>
      <c r="B14" s="352" t="s">
        <v>480</v>
      </c>
      <c r="C14" s="521"/>
    </row>
    <row r="15" spans="1:3" ht="31.5">
      <c r="A15" s="351"/>
      <c r="B15" s="352" t="s">
        <v>481</v>
      </c>
      <c r="C15" s="521">
        <v>180109</v>
      </c>
    </row>
    <row r="16" spans="1:3" ht="15.75">
      <c r="A16" s="351"/>
      <c r="B16" s="351" t="s">
        <v>482</v>
      </c>
      <c r="C16" s="521"/>
    </row>
    <row r="17" spans="1:3" ht="31.5">
      <c r="A17" s="351"/>
      <c r="B17" s="351" t="s">
        <v>443</v>
      </c>
      <c r="C17" s="521"/>
    </row>
    <row r="18" spans="1:3" ht="31.5">
      <c r="A18" s="351"/>
      <c r="B18" s="351" t="s">
        <v>483</v>
      </c>
      <c r="C18" s="521"/>
    </row>
    <row r="19" spans="1:4" ht="47.25">
      <c r="A19" s="355" t="s">
        <v>489</v>
      </c>
      <c r="B19" s="351" t="s">
        <v>484</v>
      </c>
      <c r="C19" s="354">
        <v>180409</v>
      </c>
      <c r="D19">
        <v>114</v>
      </c>
    </row>
    <row r="20" spans="1:3" ht="31.5">
      <c r="A20" s="355" t="s">
        <v>488</v>
      </c>
      <c r="B20" s="351" t="s">
        <v>444</v>
      </c>
      <c r="C20" s="354" t="s">
        <v>485</v>
      </c>
    </row>
    <row r="21" spans="1:3" ht="15.75" customHeight="1">
      <c r="A21" s="519" t="s">
        <v>487</v>
      </c>
      <c r="B21" s="514" t="s">
        <v>486</v>
      </c>
      <c r="C21" s="354">
        <v>130112</v>
      </c>
    </row>
    <row r="22" spans="1:3" ht="15.75" customHeight="1">
      <c r="A22" s="519"/>
      <c r="B22" s="515"/>
      <c r="C22" s="354">
        <v>130110</v>
      </c>
    </row>
    <row r="23" spans="1:2" ht="15.75">
      <c r="A23" s="351"/>
      <c r="B23" s="351"/>
    </row>
    <row r="24" spans="1:2" ht="15.75">
      <c r="A24" s="351"/>
      <c r="B24" s="351"/>
    </row>
    <row r="25" spans="1:2" ht="15.75">
      <c r="A25" s="351"/>
      <c r="B25" s="351"/>
    </row>
    <row r="26" spans="1:2" ht="15.75">
      <c r="A26" s="351"/>
      <c r="B26" s="351"/>
    </row>
    <row r="27" spans="1:2" ht="15.75">
      <c r="A27" s="351"/>
      <c r="B27" s="351"/>
    </row>
    <row r="28" spans="1:2" ht="15.75">
      <c r="A28" s="351"/>
      <c r="B28" s="351"/>
    </row>
    <row r="29" spans="1:2" ht="15.75">
      <c r="A29" s="351"/>
      <c r="B29" s="351"/>
    </row>
    <row r="30" spans="1:2" ht="15.75">
      <c r="A30" s="353"/>
      <c r="B30" s="351"/>
    </row>
    <row r="31" spans="1:2" ht="15.75">
      <c r="A31" s="353"/>
      <c r="B31" s="351"/>
    </row>
    <row r="32" spans="1:2" ht="15.75">
      <c r="A32" s="353"/>
      <c r="B32" s="351"/>
    </row>
    <row r="33" spans="1:2" ht="15.75">
      <c r="A33" s="353"/>
      <c r="B33" s="351"/>
    </row>
    <row r="34" spans="1:2" ht="15.75">
      <c r="A34" s="353"/>
      <c r="B34" s="351"/>
    </row>
    <row r="35" spans="1:2" ht="15.75">
      <c r="A35" s="353"/>
      <c r="B35" s="351"/>
    </row>
    <row r="36" spans="1:2" ht="15.75">
      <c r="A36" s="353"/>
      <c r="B36" s="351"/>
    </row>
    <row r="37" spans="1:2" ht="15.75">
      <c r="A37" s="353"/>
      <c r="B37" s="351"/>
    </row>
    <row r="38" spans="1:2" ht="15.75">
      <c r="A38" s="353"/>
      <c r="B38" s="351"/>
    </row>
    <row r="39" spans="1:2" ht="15.75">
      <c r="A39" s="302"/>
      <c r="B39" s="302"/>
    </row>
  </sheetData>
  <mergeCells count="7">
    <mergeCell ref="B21:B22"/>
    <mergeCell ref="C9:C12"/>
    <mergeCell ref="A21:A22"/>
    <mergeCell ref="A5:B5"/>
    <mergeCell ref="B9:B10"/>
    <mergeCell ref="C13:C14"/>
    <mergeCell ref="C15:C18"/>
  </mergeCells>
  <printOptions/>
  <pageMargins left="1.27" right="0.7874015748031497" top="1.1811023622047245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User</cp:lastModifiedBy>
  <cp:lastPrinted>2011-01-10T06:42:59Z</cp:lastPrinted>
  <dcterms:created xsi:type="dcterms:W3CDTF">2003-12-10T21:35:36Z</dcterms:created>
  <dcterms:modified xsi:type="dcterms:W3CDTF">2011-01-13T06:39:48Z</dcterms:modified>
  <cp:category/>
  <cp:version/>
  <cp:contentType/>
  <cp:contentStatus/>
</cp:coreProperties>
</file>