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4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</sheets>
  <definedNames>
    <definedName name="_xlnm._FilterDatabase" localSheetId="2" hidden="1">'№3'!$A$14:$BF$127</definedName>
    <definedName name="Pfujkjdrb_lkz_gtxfnb">'№1'!$7:$9</definedName>
    <definedName name="Z_1D767D7F_3A7F_4027_AABF_9FB18720D692_.wvu.Cols" localSheetId="1" hidden="1">'№2'!#REF!,'№2'!$I:$I</definedName>
    <definedName name="Z_1D767D7F_3A7F_4027_AABF_9FB18720D692_.wvu.Cols" localSheetId="2" hidden="1">'№3'!#REF!,'№3'!$I:$I</definedName>
    <definedName name="Z_1D767D7F_3A7F_4027_AABF_9FB18720D692_.wvu.Cols" localSheetId="4" hidden="1">'№5'!#REF!,'№5'!$G:$I</definedName>
    <definedName name="Z_1D767D7F_3A7F_4027_AABF_9FB18720D692_.wvu.FilterData" localSheetId="2" hidden="1">'№3'!$A$14:$BF$127</definedName>
    <definedName name="Z_1D767D7F_3A7F_4027_AABF_9FB18720D692_.wvu.PrintArea" localSheetId="0" hidden="1">'№1'!$A$1:$F$58</definedName>
    <definedName name="Z_1D767D7F_3A7F_4027_AABF_9FB18720D692_.wvu.PrintArea" localSheetId="1" hidden="1">'№2'!$A$1:$J$92</definedName>
    <definedName name="Z_1D767D7F_3A7F_4027_AABF_9FB18720D692_.wvu.PrintArea" localSheetId="2" hidden="1">'№3'!$A$1:$J$125</definedName>
    <definedName name="Z_1D767D7F_3A7F_4027_AABF_9FB18720D692_.wvu.PrintArea" localSheetId="4" hidden="1">'№5'!$A$1:$C$58</definedName>
    <definedName name="Z_1D767D7F_3A7F_4027_AABF_9FB18720D692_.wvu.PrintTitles" localSheetId="0" hidden="1">'№1'!$7:$9</definedName>
    <definedName name="Z_1D767D7F_3A7F_4027_AABF_9FB18720D692_.wvu.PrintTitles" localSheetId="1" hidden="1">'№2'!$9:$12</definedName>
    <definedName name="Z_1D767D7F_3A7F_4027_AABF_9FB18720D692_.wvu.PrintTitles" localSheetId="2" hidden="1">'№3'!$11:$14</definedName>
    <definedName name="Z_1D767D7F_3A7F_4027_AABF_9FB18720D692_.wvu.PrintTitles" localSheetId="3" hidden="1">'№4'!$A:$A</definedName>
    <definedName name="Z_1D767D7F_3A7F_4027_AABF_9FB18720D692_.wvu.Rows" localSheetId="0" hidden="1">'№1'!$6:$6,'№1'!#REF!,'№1'!$33:$34</definedName>
    <definedName name="Z_1D767D7F_3A7F_4027_AABF_9FB18720D692_.wvu.Rows" localSheetId="1" hidden="1">'№2'!#REF!,'№2'!#REF!,'№2'!#REF!</definedName>
    <definedName name="Z_1D767D7F_3A7F_4027_AABF_9FB18720D692_.wvu.Rows" localSheetId="2" hidden="1">'№3'!$1:$3,'№3'!#REF!,'№3'!#REF!,'№3'!#REF!,'№3'!#REF!,'№3'!#REF!,'№3'!$49:$49,'№3'!#REF!,'№3'!#REF!,'№3'!#REF!,'№3'!$59:$63,'№3'!#REF!,'№3'!#REF!,'№3'!#REF!,'№3'!#REF!,'№3'!$89:$94,'№3'!#REF!,'№3'!#REF!</definedName>
    <definedName name="Z_1D767D7F_3A7F_4027_AABF_9FB18720D692_.wvu.Rows" localSheetId="4" hidden="1">'№5'!$13:$13,'№5'!$15:$15,'№5'!$17:$17,'№5'!$19:$19,'№5'!$21:$21,'№5'!$23:$25,'№5'!$27:$27,'№5'!$29:$32,'№5'!$34:$36,'№5'!$39:$42,'№5'!$44:$50,'№5'!$52:$56</definedName>
    <definedName name="Z_320DDB09_FBA8_4E1A_90A7_41493CE887A1_.wvu.Cols" localSheetId="1" hidden="1">'№2'!#REF!,'№2'!$I:$I</definedName>
    <definedName name="Z_320DDB09_FBA8_4E1A_90A7_41493CE887A1_.wvu.Cols" localSheetId="2" hidden="1">'№3'!#REF!,'№3'!$I:$I</definedName>
    <definedName name="Z_320DDB09_FBA8_4E1A_90A7_41493CE887A1_.wvu.FilterData" localSheetId="2" hidden="1">'№3'!$A$15:$A$108</definedName>
    <definedName name="Z_320DDB09_FBA8_4E1A_90A7_41493CE887A1_.wvu.PrintArea" localSheetId="1" hidden="1">'№2'!$A$1:$J$84</definedName>
    <definedName name="Z_320DDB09_FBA8_4E1A_90A7_41493CE887A1_.wvu.PrintArea" localSheetId="2" hidden="1">'№3'!$A$1:$J$107</definedName>
    <definedName name="Z_320DDB09_FBA8_4E1A_90A7_41493CE887A1_.wvu.Rows" localSheetId="1" hidden="1">'№2'!#REF!,'№2'!#REF!,'№2'!#REF!,'№2'!#REF!,'№2'!$60:$60,'№2'!#REF!,'№2'!#REF!,'№2'!$65:$65,'№2'!$66:$66,'№2'!$70:$70,'№2'!#REF!,'№2'!#REF!,'№2'!#REF!,'№2'!#REF!,'№2'!#REF!</definedName>
    <definedName name="Z_320DDB09_FBA8_4E1A_90A7_41493CE887A1_.wvu.Rows" localSheetId="2" hidden="1">'№3'!$1:$3</definedName>
    <definedName name="Z_55FBEA9C_3FBC_4C2C_9CDD_81DB4A50B154_.wvu.Cols" localSheetId="1" hidden="1">'№2'!#REF!,'№2'!$I:$I</definedName>
    <definedName name="Z_55FBEA9C_3FBC_4C2C_9CDD_81DB4A50B154_.wvu.Cols" localSheetId="2" hidden="1">'№3'!#REF!,'№3'!$I:$I</definedName>
    <definedName name="Z_55FBEA9C_3FBC_4C2C_9CDD_81DB4A50B154_.wvu.FilterData" localSheetId="2" hidden="1">'№3'!$A$14:$BF$108</definedName>
    <definedName name="Z_55FBEA9C_3FBC_4C2C_9CDD_81DB4A50B154_.wvu.PrintArea" localSheetId="1" hidden="1">'№2'!$A$1:$J$86</definedName>
    <definedName name="Z_55FBEA9C_3FBC_4C2C_9CDD_81DB4A50B154_.wvu.PrintArea" localSheetId="2" hidden="1">'№3'!$A$1:$J$116</definedName>
    <definedName name="Z_55FBEA9C_3FBC_4C2C_9CDD_81DB4A50B154_.wvu.Rows" localSheetId="1" hidden="1">'№2'!#REF!,'№2'!#REF!,'№2'!#REF!,'№2'!$41:$43,'№2'!$51:$51,'№2'!$55:$55,'№2'!#REF!,'№2'!$60:$60,'№2'!#REF!,'№2'!#REF!,'№2'!$65:$65,'№2'!$66:$66,'№2'!$70:$70,'№2'!#REF!,'№2'!#REF!,'№2'!#REF!,'№2'!#REF!,'№2'!#REF!</definedName>
    <definedName name="Z_55FBEA9C_3FBC_4C2C_9CDD_81DB4A50B154_.wvu.Rows" localSheetId="2" hidden="1">'№3'!$1:$3,'№3'!#REF!,'№3'!#REF!,'№3'!$23:$23,'№3'!#REF!,'№3'!#REF!,'№3'!#REF!,'№3'!$34:$34,'№3'!#REF!,'№3'!$36:$36,'№3'!$42:$42,'№3'!$44:$45,'№3'!#REF!,'№3'!$50:$55,'№3'!#REF!,'№3'!$65:$69,'№3'!#REF!,'№3'!$75:$88,'№3'!#REF!</definedName>
    <definedName name="Z_8182C82F_4179_437B_82A5_A0F1DB59C261_.wvu.FilterData" localSheetId="2" hidden="1">'№3'!$A$15:$A$108</definedName>
    <definedName name="Z_A47C3E8F_8E3D_438E_864D_FF8A86EB29FB_.wvu.PrintArea" localSheetId="1" hidden="1">'№2'!$A$1:$L$86</definedName>
    <definedName name="Z_AD77E662_1A59_48FE_B650_EFF948C00338_.wvu.FilterData" localSheetId="2" hidden="1">'№3'!$A$15:$A$108</definedName>
    <definedName name="Z_BB919BB1_78FC_411F_B89B_EE52A9A99CCD_.wvu.Cols" localSheetId="1" hidden="1">'№2'!#REF!,'№2'!$I:$I</definedName>
    <definedName name="Z_BB919BB1_78FC_411F_B89B_EE52A9A99CCD_.wvu.Cols" localSheetId="2" hidden="1">'№3'!#REF!,'№3'!$I:$I</definedName>
    <definedName name="Z_BB919BB1_78FC_411F_B89B_EE52A9A99CCD_.wvu.FilterData" localSheetId="2" hidden="1">'№3'!$A$14:$BF$108</definedName>
    <definedName name="Z_BB919BB1_78FC_411F_B89B_EE52A9A99CCD_.wvu.PrintArea" localSheetId="1" hidden="1">'№2'!$A$1:$J$86</definedName>
    <definedName name="Z_BB919BB1_78FC_411F_B89B_EE52A9A99CCD_.wvu.PrintArea" localSheetId="2" hidden="1">'№3'!$A$1:$J$107</definedName>
    <definedName name="Z_BB919BB1_78FC_411F_B89B_EE52A9A99CCD_.wvu.Rows" localSheetId="1" hidden="1">'№2'!#REF!,'№2'!#REF!,'№2'!#REF!,'№2'!$36:$37,'№2'!$41:$43,'№2'!$51:$51,'№2'!$55:$55,'№2'!#REF!,'№2'!#REF!,'№2'!$60:$60,'№2'!#REF!,'№2'!#REF!,'№2'!$65:$66,'№2'!$70:$81,'№2'!#REF!,'№2'!#REF!</definedName>
    <definedName name="Z_BB919BB1_78FC_411F_B89B_EE52A9A99CCD_.wvu.Rows" localSheetId="2" hidden="1">'№3'!$1:$3,'№3'!#REF!,'№3'!$21:$23,'№3'!#REF!,'№3'!#REF!,'№3'!#REF!,'№3'!$34:$34,'№3'!#REF!,'№3'!$36:$36,'№3'!$42:$42,'№3'!$44:$45,'№3'!#REF!,'№3'!$50:$55,'№3'!#REF!,'№3'!$65:$69,'№3'!#REF!,'№3'!$75:$88,'№3'!#REF!,'№3'!#REF!,'№3'!#REF!,'№3'!#REF!,'№3'!#REF!,'№3'!$104:$105,'№3'!#REF!</definedName>
    <definedName name="Z_C0D6CD41_0FD1_49C4_B712_F128344CF647_.wvu.Cols" localSheetId="1" hidden="1">'№2'!#REF!,'№2'!$I:$I</definedName>
    <definedName name="Z_C0D6CD41_0FD1_49C4_B712_F128344CF647_.wvu.Cols" localSheetId="2" hidden="1">'№3'!#REF!,'№3'!$I:$I</definedName>
    <definedName name="Z_C0D6CD41_0FD1_49C4_B712_F128344CF647_.wvu.Cols" localSheetId="4" hidden="1">'№5'!#REF!,'№5'!$G:$I</definedName>
    <definedName name="Z_C0D6CD41_0FD1_49C4_B712_F128344CF647_.wvu.FilterData" localSheetId="2" hidden="1">'№3'!$A$14:$BF$127</definedName>
    <definedName name="Z_C0D6CD41_0FD1_49C4_B712_F128344CF647_.wvu.PrintArea" localSheetId="0" hidden="1">'№1'!$A$1:$F$58</definedName>
    <definedName name="Z_C0D6CD41_0FD1_49C4_B712_F128344CF647_.wvu.PrintArea" localSheetId="1" hidden="1">'№2'!$A$1:$J$92</definedName>
    <definedName name="Z_C0D6CD41_0FD1_49C4_B712_F128344CF647_.wvu.PrintArea" localSheetId="2" hidden="1">'№3'!$A$1:$J$125</definedName>
    <definedName name="Z_C0D6CD41_0FD1_49C4_B712_F128344CF647_.wvu.PrintArea" localSheetId="4" hidden="1">'№5'!$A$1:$C$58</definedName>
    <definedName name="Z_C0D6CD41_0FD1_49C4_B712_F128344CF647_.wvu.PrintTitles" localSheetId="0" hidden="1">'№1'!$7:$9</definedName>
    <definedName name="Z_C0D6CD41_0FD1_49C4_B712_F128344CF647_.wvu.PrintTitles" localSheetId="1" hidden="1">'№2'!$9:$12</definedName>
    <definedName name="Z_C0D6CD41_0FD1_49C4_B712_F128344CF647_.wvu.PrintTitles" localSheetId="2" hidden="1">'№3'!$11:$14</definedName>
    <definedName name="Z_C0D6CD41_0FD1_49C4_B712_F128344CF647_.wvu.PrintTitles" localSheetId="3" hidden="1">'№4'!$A:$A</definedName>
    <definedName name="Z_C0D6CD41_0FD1_49C4_B712_F128344CF647_.wvu.Rows" localSheetId="0" hidden="1">'№1'!$6:$6,'№1'!$21:$21,'№1'!#REF!,'№1'!$33:$34</definedName>
    <definedName name="Z_C0D6CD41_0FD1_49C4_B712_F128344CF647_.wvu.Rows" localSheetId="1" hidden="1">'№2'!#REF!,'№2'!#REF!,'№2'!#REF!</definedName>
    <definedName name="Z_C0D6CD41_0FD1_49C4_B712_F128344CF647_.wvu.Rows" localSheetId="2" hidden="1">'№3'!$1:$3,'№3'!#REF!,'№3'!#REF!,'№3'!#REF!,'№3'!#REF!,'№3'!#REF!,'№3'!$49:$49,'№3'!#REF!,'№3'!#REF!,'№3'!#REF!,'№3'!$59:$63,'№3'!#REF!,'№3'!#REF!,'№3'!#REF!,'№3'!#REF!,'№3'!$89:$94,'№3'!#REF!,'№3'!#REF!</definedName>
    <definedName name="Z_C0D6CD41_0FD1_49C4_B712_F128344CF647_.wvu.Rows" localSheetId="4" hidden="1">'№5'!$13:$13,'№5'!$15:$15,'№5'!$17:$17,'№5'!$19:$19,'№5'!$21:$21,'№5'!$23:$25,'№5'!$27:$27,'№5'!$29:$32,'№5'!$34:$36,'№5'!$39:$42,'№5'!$44:$50,'№5'!$52:$56</definedName>
    <definedName name="Z_CDF83A7A_6F8D_4548_8D63_D97509A38F07_.wvu.Cols" localSheetId="1" hidden="1">'№2'!#REF!,'№2'!$I:$I</definedName>
    <definedName name="Z_CDF83A7A_6F8D_4548_8D63_D97509A38F07_.wvu.Cols" localSheetId="2" hidden="1">'№3'!#REF!,'№3'!$I:$I</definedName>
    <definedName name="Z_CDF83A7A_6F8D_4548_8D63_D97509A38F07_.wvu.Cols" localSheetId="4" hidden="1">'№5'!#REF!,'№5'!$G:$I</definedName>
    <definedName name="Z_CDF83A7A_6F8D_4548_8D63_D97509A38F07_.wvu.FilterData" localSheetId="2" hidden="1">'№3'!$A$14:$BF$127</definedName>
    <definedName name="Z_CDF83A7A_6F8D_4548_8D63_D97509A38F07_.wvu.PrintArea" localSheetId="0" hidden="1">'№1'!$A$1:$F$58</definedName>
    <definedName name="Z_CDF83A7A_6F8D_4548_8D63_D97509A38F07_.wvu.PrintArea" localSheetId="1" hidden="1">'№2'!$A$1:$J$92</definedName>
    <definedName name="Z_CDF83A7A_6F8D_4548_8D63_D97509A38F07_.wvu.PrintArea" localSheetId="2" hidden="1">'№3'!$A$1:$J$125</definedName>
    <definedName name="Z_CDF83A7A_6F8D_4548_8D63_D97509A38F07_.wvu.PrintArea" localSheetId="4" hidden="1">'№5'!$A$1:$C$58</definedName>
    <definedName name="Z_CDF83A7A_6F8D_4548_8D63_D97509A38F07_.wvu.PrintTitles" localSheetId="0" hidden="1">'№1'!$7:$9</definedName>
    <definedName name="Z_CDF83A7A_6F8D_4548_8D63_D97509A38F07_.wvu.PrintTitles" localSheetId="1" hidden="1">'№2'!$9:$12</definedName>
    <definedName name="Z_CDF83A7A_6F8D_4548_8D63_D97509A38F07_.wvu.PrintTitles" localSheetId="2" hidden="1">'№3'!$11:$14</definedName>
    <definedName name="Z_CDF83A7A_6F8D_4548_8D63_D97509A38F07_.wvu.PrintTitles" localSheetId="3" hidden="1">'№4'!$A:$A</definedName>
    <definedName name="Z_CDF83A7A_6F8D_4548_8D63_D97509A38F07_.wvu.Rows" localSheetId="0" hidden="1">'№1'!$6:$6,'№1'!#REF!,'№1'!$33:$34,'№1'!#REF!,'№1'!#REF!,'№1'!#REF!</definedName>
    <definedName name="Z_CDF83A7A_6F8D_4548_8D63_D97509A38F07_.wvu.Rows" localSheetId="1" hidden="1">'№2'!#REF!,'№2'!#REF!,'№2'!#REF!,'№2'!#REF!,'№2'!#REF!,'№2'!#REF!,'№2'!#REF!,'№2'!#REF!,'№2'!#REF!,'№2'!#REF!,'№2'!#REF!,'№2'!#REF!,'№2'!#REF!,'№2'!#REF!,'№2'!#REF!,'№2'!#REF!,'№2'!#REF!,'№2'!$65:$65,'№2'!#REF!,'№2'!#REF!,'№2'!#REF!,'№2'!$84:$84,'№2'!#REF!,'№2'!$89:$91,'№2'!#REF!</definedName>
    <definedName name="Z_CDF83A7A_6F8D_4548_8D63_D97509A38F07_.wvu.Rows" localSheetId="2" hidden="1">'№3'!$1:$3,'№3'!#REF!,'№3'!#REF!,'№3'!#REF!,'№3'!#REF!,'№3'!#REF!,'№3'!#REF!,'№3'!#REF!,'№3'!#REF!,'№3'!#REF!,'№3'!#REF!,'№3'!#REF!,'№3'!#REF!,'№3'!$49:$49,'№3'!#REF!,'№3'!#REF!,'№3'!#REF!,'№3'!$59:$63,'№3'!#REF!,'№3'!#REF!,'№3'!#REF!,'№3'!#REF!,'№3'!#REF!,'№3'!#REF!,'№3'!#REF!,'№3'!$89:$94,'№3'!#REF!,'№3'!#REF!,'№3'!#REF!,'№3'!#REF!,'№3'!#REF!,'№3'!#REF!,'№3'!#REF!,'№3'!#REF!,'№3'!#REF!,'№3'!$123:$123</definedName>
    <definedName name="Z_CDF83A7A_6F8D_4548_8D63_D97509A38F07_.wvu.Rows" localSheetId="4" hidden="1">'№5'!$13:$13,'№5'!$15:$15,'№5'!$17:$17,'№5'!$19:$19,'№5'!$21:$21,'№5'!$23:$25,'№5'!$27:$27,'№5'!$29:$32,'№5'!$34:$36,'№5'!$39:$42,'№5'!$44:$50,'№5'!$52:$56</definedName>
    <definedName name="Z_D733478A_EE58_449F_AC74_766E540A8B9D_.wvu.FilterData" localSheetId="2" hidden="1">'№3'!$A$15:$A$108</definedName>
    <definedName name="_xlnm.Print_Titles" localSheetId="0">'№1'!$7:$9</definedName>
    <definedName name="_xlnm.Print_Titles" localSheetId="1">'№2'!$9:$12</definedName>
    <definedName name="_xlnm.Print_Titles" localSheetId="2">'№3'!$11:$14</definedName>
    <definedName name="_xlnm.Print_Titles" localSheetId="3">'№4'!$A:$A</definedName>
    <definedName name="_xlnm.Print_Area" localSheetId="0">'№1'!$A$1:$F$58</definedName>
    <definedName name="_xlnm.Print_Area" localSheetId="1">'№2'!$A$1:$J$92</definedName>
    <definedName name="_xlnm.Print_Area" localSheetId="2">'№3'!$A$1:$J$125</definedName>
    <definedName name="_xlnm.Print_Area" localSheetId="4">'№5'!$A$1:$G$54</definedName>
    <definedName name="_xlnm.Print_Area" localSheetId="5">'№6'!$A$1:$E$16</definedName>
    <definedName name="_xlnm.Print_Area" localSheetId="6">'№7'!$A$1:$F$59</definedName>
  </definedNames>
  <calcPr fullCalcOnLoad="1"/>
</workbook>
</file>

<file path=xl/sharedStrings.xml><?xml version="1.0" encoding="utf-8"?>
<sst xmlns="http://schemas.openxmlformats.org/spreadsheetml/2006/main" count="729" uniqueCount="410">
  <si>
    <t>Налог на прибыль предприятий и организаций, которые относятся к коммунальной собственности</t>
  </si>
  <si>
    <t>41020100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</si>
  <si>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</si>
  <si>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Управление культуры и туризма облгосадминистрации</t>
  </si>
  <si>
    <t>250326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</si>
  <si>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</t>
  </si>
  <si>
    <t>43010000</t>
  </si>
  <si>
    <t>Главное управление здравоохранения облгосадминистрации</t>
  </si>
  <si>
    <t>Управление образования и науки облгосадминистрации</t>
  </si>
  <si>
    <t>Налоги на доходы, налоги на прибыль, налоги на увеличение рыночной стоимости</t>
  </si>
  <si>
    <t>Налог с доходов физических лиц</t>
  </si>
  <si>
    <t>Налог на прибыль предприятий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</si>
  <si>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</si>
  <si>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</si>
  <si>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</si>
  <si>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</si>
  <si>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</si>
  <si>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</si>
  <si>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</si>
  <si>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</si>
  <si>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</si>
  <si>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</si>
  <si>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</si>
  <si>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</si>
  <si>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>Поступление средств от возмещения потерь сельскохозяйственного и лесохозяйственного производства</t>
  </si>
  <si>
    <t>Административные сборы и платежи, доходы от некоммерческой  и побочной продажи</t>
  </si>
  <si>
    <t>Другие неналоговые поступления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</si>
  <si>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</si>
  <si>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</si>
  <si>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</si>
  <si>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Сбор за загрязнение окружающей природной среды</t>
  </si>
  <si>
    <t>Итого доходов</t>
  </si>
  <si>
    <t>Официальные трансферты</t>
  </si>
  <si>
    <t>Субвенции</t>
  </si>
  <si>
    <t>Всего доходов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</si>
  <si>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</si>
  <si>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Прочие субвенции</t>
  </si>
  <si>
    <t>тыс.грн.</t>
  </si>
  <si>
    <t>091101</t>
  </si>
  <si>
    <t>Содержание центров социальных служб для молодежи</t>
  </si>
  <si>
    <t>091102</t>
  </si>
  <si>
    <t>Программы и мероприятия центров социальных служб для молодежи</t>
  </si>
  <si>
    <t>091103</t>
  </si>
  <si>
    <t>091104</t>
  </si>
  <si>
    <t>Социальные программы и мероприятия государственных органов по делам женщин</t>
  </si>
  <si>
    <t>091105</t>
  </si>
  <si>
    <t>Содержание подростковых клубов по месту проживания</t>
  </si>
  <si>
    <t>091106</t>
  </si>
  <si>
    <t xml:space="preserve">Прочие расходы </t>
  </si>
  <si>
    <t>091107</t>
  </si>
  <si>
    <t>Социальные программы и мероприятия государственных органов по делам семьи</t>
  </si>
  <si>
    <t>Культура и искусство, в том числе</t>
  </si>
  <si>
    <t>110102</t>
  </si>
  <si>
    <t>Театры</t>
  </si>
  <si>
    <t>110103</t>
  </si>
  <si>
    <t>Филармонии, музыкальные коллективы и ансамбли  и прочие мероприятия и учреждения по искусству</t>
  </si>
  <si>
    <t>Расходы на проведение работ, связанных со строительством, реконструкцией, ремонтом и  содержанием автомобильных дорог</t>
  </si>
  <si>
    <t>Предупреждение и ликвидация чрезвычайных ситуаций и последствий стихийного бедствия</t>
  </si>
  <si>
    <t>250403</t>
  </si>
  <si>
    <t>250344</t>
  </si>
  <si>
    <t>250328</t>
  </si>
  <si>
    <t>250329</t>
  </si>
  <si>
    <t>250330</t>
  </si>
  <si>
    <t>250380</t>
  </si>
  <si>
    <t>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вывоза бытового мусора и жидких нечистот</t>
  </si>
  <si>
    <t xml:space="preserve">на выплату государственной социальной помощи на детей-сирот и детей, лишенных родительского попечения,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 принципу "деньги ходят за ребенком"  </t>
  </si>
  <si>
    <t>на 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Республике Крым 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</si>
  <si>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на финансирование в 2009 году Программ-победителей Всеукраинского конкурса проектов и программ развития местного самоуправления 2008 года</t>
  </si>
  <si>
    <t>Дотация на выравнивание финансовой обеспеченности местных бюджетов</t>
  </si>
  <si>
    <t>41036300</t>
  </si>
  <si>
    <t>Субвенция из государственного бюджета местным бюджетам на финансирование в 2009 году Программ-победителей Всеукраинского конкурса проектов и программ развития местного самоуправления 2008 года</t>
  </si>
  <si>
    <t>Высшие учреждения образования III и IV уровней аккредитации</t>
  </si>
  <si>
    <t>091108</t>
  </si>
  <si>
    <t>Мероприятия по организации  отдыха и оздоровления детей, кроме мероприятий по оздоровлению детей, которые выполняются за счет средств на оздоровление граждан, пострадавших вследствие Чернобыльской катастрофы</t>
  </si>
  <si>
    <t>090212</t>
  </si>
  <si>
    <t>Льготы на медицинское обслуживание гражданам, пострадавшим вследствие Чернобыльской катастрофы</t>
  </si>
  <si>
    <t>Здравоохранение (содержание лечебно-профилактических учреждений, проведение мероприятий и выполнение программ), в т.ч.</t>
  </si>
  <si>
    <t xml:space="preserve">Дополнительная дотация из государственного бюджета на выравнивание финансовой обеспеченности местных бюджетов </t>
  </si>
  <si>
    <t>доходи</t>
  </si>
  <si>
    <t>отклонения</t>
  </si>
  <si>
    <t>Дотация выравнивания из государственного бюджета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</si>
  <si>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</si>
  <si>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</si>
  <si>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41034300</t>
  </si>
  <si>
    <t>Социальные программы и мероприятия государственных органов по делам молодежи</t>
  </si>
  <si>
    <t>110502</t>
  </si>
  <si>
    <t>Образование (высшие учреждения образования І-ІІ уровней аккредитации; прочие учреждения, мероприятия последипломного образования), в том числе</t>
  </si>
  <si>
    <t>Высшие учреждения образования І-ІІ уровней аккредитации</t>
  </si>
  <si>
    <t>080400</t>
  </si>
  <si>
    <t>180109</t>
  </si>
  <si>
    <t>250404</t>
  </si>
  <si>
    <t>090417</t>
  </si>
  <si>
    <t>Субвенция на выполнение собственных полномочий территориальных громад сел, поселков, городов и их объединений (из областного бюджета на содержание приютов для несовершеннолетних)</t>
  </si>
  <si>
    <t>Расходы на содержание учреждений соцобеспечения и отдельные мероприятия по социальной защите</t>
  </si>
  <si>
    <t>090412, 090416, 090601, 090901, 091207, 091209, 091210, 091212</t>
  </si>
  <si>
    <t>250325</t>
  </si>
  <si>
    <t xml:space="preserve">  Специальный фонд</t>
  </si>
  <si>
    <t>14060900</t>
  </si>
  <si>
    <t>Плата за государственную регистрацию, кроме платы за регистрацию субъектов предпринимательской деятельности</t>
  </si>
  <si>
    <t xml:space="preserve"> Поступления от размещения  в учреждениях банков временно свободных бюджетных  средств </t>
  </si>
  <si>
    <t xml:space="preserve"> Плата за аренду целостных имущественных комплексов и другого государственного имущества </t>
  </si>
  <si>
    <t>24060800</t>
  </si>
  <si>
    <t>Поступления от сбора за проведение гастрольных мероприятий</t>
  </si>
  <si>
    <t>41030600</t>
  </si>
  <si>
    <t>41030800</t>
  </si>
  <si>
    <t>41030900</t>
  </si>
  <si>
    <t>41031000</t>
  </si>
  <si>
    <t>Расходы на захоронение участников боевых действий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</si>
  <si>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регионов, в том числе:</t>
  </si>
  <si>
    <t xml:space="preserve">Специализированные поликлиники  (врачебно-физкультурный диспансер) </t>
  </si>
  <si>
    <t>в том числе:</t>
  </si>
  <si>
    <t>Приложение 4</t>
  </si>
  <si>
    <t>Наименование административно-территориальных единиц</t>
  </si>
  <si>
    <t>Субвенции общего фонда:</t>
  </si>
  <si>
    <t>Субвенции специального фонда:</t>
  </si>
  <si>
    <t>ВСЕГО</t>
  </si>
  <si>
    <t>на выплату помощи семьям с детьми, малообеспеченным семьям, инвалидам с детства, детям-инвалидам и временной государственной помощи детям</t>
  </si>
  <si>
    <t>на предоставление льгот и жилищных субсидий населению на приобретение твердого и жидкого печного бытового топлива и сжиженного газа</t>
  </si>
  <si>
    <t>на предоставление льгот по услугам связи и прочих, предусмотренных законодательством льгот (кроме льгот на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</si>
  <si>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>компенсация за льготный проезд в городском и пригородном электро- и автотранспорте отдельных категорий граждан</t>
  </si>
  <si>
    <t>льготы на услуги связи</t>
  </si>
  <si>
    <t>Авдеевка</t>
  </si>
  <si>
    <t>Артемовск</t>
  </si>
  <si>
    <t>Горловка</t>
  </si>
  <si>
    <t>Дебальцево</t>
  </si>
  <si>
    <t>Дзержинск</t>
  </si>
  <si>
    <t>Димитрово</t>
  </si>
  <si>
    <t>Доброполье</t>
  </si>
  <si>
    <t>Докучаевск</t>
  </si>
  <si>
    <t>Донецк</t>
  </si>
  <si>
    <t>Дружковка</t>
  </si>
  <si>
    <t>Енакиево</t>
  </si>
  <si>
    <t>Ждановка</t>
  </si>
  <si>
    <t>Кировское</t>
  </si>
  <si>
    <t>Константиновка</t>
  </si>
  <si>
    <t>Краматорск</t>
  </si>
  <si>
    <t>Красноармейск</t>
  </si>
  <si>
    <t>Красный Лиман</t>
  </si>
  <si>
    <t>Макеевка</t>
  </si>
  <si>
    <t>Мариуполь</t>
  </si>
  <si>
    <t>Новогродовка</t>
  </si>
  <si>
    <t>Селидово</t>
  </si>
  <si>
    <t>Славянск</t>
  </si>
  <si>
    <t>Снежное</t>
  </si>
  <si>
    <t>Торез</t>
  </si>
  <si>
    <t>Угледар</t>
  </si>
  <si>
    <t>Харцизск</t>
  </si>
  <si>
    <t>Шахтерск</t>
  </si>
  <si>
    <t>Ясиноватая</t>
  </si>
  <si>
    <t>Александровский</t>
  </si>
  <si>
    <t>Амвросиевский</t>
  </si>
  <si>
    <t>Артемовский</t>
  </si>
  <si>
    <t>Великоновоселковский</t>
  </si>
  <si>
    <t>Волновахский</t>
  </si>
  <si>
    <t>Володарский</t>
  </si>
  <si>
    <t>Добропольский</t>
  </si>
  <si>
    <t>Константиновский</t>
  </si>
  <si>
    <t>Красноармейский</t>
  </si>
  <si>
    <t>Марьинский</t>
  </si>
  <si>
    <t>Новоазовский</t>
  </si>
  <si>
    <t>Першотравневый</t>
  </si>
  <si>
    <t>Славянский</t>
  </si>
  <si>
    <t>Старобешевский</t>
  </si>
  <si>
    <t>Тельмановский</t>
  </si>
  <si>
    <t>Шахтерский</t>
  </si>
  <si>
    <t>Ясиноватский</t>
  </si>
  <si>
    <t>Облбюджет</t>
  </si>
  <si>
    <t>Всего по области</t>
  </si>
  <si>
    <t>Приложение 5</t>
  </si>
  <si>
    <t xml:space="preserve">на содержание приютов для несовершеннолетних                             </t>
  </si>
  <si>
    <t>Итого</t>
  </si>
  <si>
    <t>Харцызск</t>
  </si>
  <si>
    <t>В-Новоселковский</t>
  </si>
  <si>
    <t>Областной</t>
  </si>
  <si>
    <t>130000</t>
  </si>
  <si>
    <t>110201</t>
  </si>
  <si>
    <t>110300</t>
  </si>
  <si>
    <t>120300</t>
  </si>
  <si>
    <t>070601</t>
  </si>
  <si>
    <t>170703</t>
  </si>
  <si>
    <t>250306</t>
  </si>
  <si>
    <t>Главное финансовое управление облгосадминистрации</t>
  </si>
  <si>
    <t>Высшие учебные заведения III-IV уровня акредитации</t>
  </si>
  <si>
    <t xml:space="preserve"> 070602</t>
  </si>
  <si>
    <t xml:space="preserve">Программа "Образование Донбасса. 2007-2011 гг." </t>
  </si>
  <si>
    <t>Приложение 2</t>
  </si>
  <si>
    <t>к решению областного совета</t>
  </si>
  <si>
    <t>по функциональной структуре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</si>
  <si>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</si>
  <si>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</si>
  <si>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</si>
  <si>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</si>
  <si>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</si>
  <si>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>Всего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</si>
  <si>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</si>
  <si>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</si>
  <si>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</si>
  <si>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</si>
  <si>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</si>
  <si>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</si>
  <si>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</si>
  <si>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</si>
  <si>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</si>
  <si>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</si>
  <si>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</si>
  <si>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Главное управление труда и социальной защиты населения облгосадминистрации</t>
  </si>
  <si>
    <t>Управление по делам семьи и молодежи облгосадминистрации</t>
  </si>
  <si>
    <t>Управление по вопросам физической культуры и спорта облгосадминистрации</t>
  </si>
  <si>
    <t>070000</t>
  </si>
  <si>
    <t>Образование</t>
  </si>
  <si>
    <t>080000</t>
  </si>
  <si>
    <t>Здравоохранение</t>
  </si>
  <si>
    <t>250382</t>
  </si>
  <si>
    <t>090000</t>
  </si>
  <si>
    <t>Социальная защита и социальное обеспечение</t>
  </si>
  <si>
    <t>090403</t>
  </si>
  <si>
    <t xml:space="preserve">Выплаты компенсаций реабилитированным </t>
  </si>
  <si>
    <t>090412</t>
  </si>
  <si>
    <t>Прочие расходы на социальную защиту населения</t>
  </si>
  <si>
    <t>090413</t>
  </si>
  <si>
    <t>Помощь по уходу за инвалидом I или II группы вследствие психического расстройства</t>
  </si>
  <si>
    <t>Жилищно-коммунальное хозяйство</t>
  </si>
  <si>
    <t>Кинематография</t>
  </si>
  <si>
    <t>Средства массовой информации</t>
  </si>
  <si>
    <t>Книгоиздательство</t>
  </si>
  <si>
    <t>Физкультура и спорт</t>
  </si>
  <si>
    <t>Строительство</t>
  </si>
  <si>
    <t>Капитальные вложения</t>
  </si>
  <si>
    <t>Транспорт, дорожное хозяйство, связь, телекоммуникации и информатика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</si>
  <si>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</si>
  <si>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Программа стабилизации и социально-экономического развития территорий</t>
  </si>
  <si>
    <t>Целевые фонды</t>
  </si>
  <si>
    <t>Охрана и рациональное использование природных ресурсов</t>
  </si>
  <si>
    <t xml:space="preserve"> Расходы, не отнесенные к основным  группам</t>
  </si>
  <si>
    <t>Резервный фонд</t>
  </si>
  <si>
    <t xml:space="preserve">Прочие расходы  </t>
  </si>
  <si>
    <t>И Т О Г О   Р А С Х О Д О В:</t>
  </si>
  <si>
    <t>Главное управление капитального строительства облгосадминистрации</t>
  </si>
  <si>
    <t>общий фонд</t>
  </si>
  <si>
    <t>Средства, передаваемые из общего фонда бюджета в бюджет развития (специального фонда)</t>
  </si>
  <si>
    <t>В С Е Г О   Р А С Х О Д О В:</t>
  </si>
  <si>
    <t>__________________________</t>
  </si>
  <si>
    <t xml:space="preserve"> </t>
  </si>
  <si>
    <t>Приложение 3</t>
  </si>
  <si>
    <t xml:space="preserve">  Название главного распорядителя кредитов</t>
  </si>
  <si>
    <t>Физическая культура и спорт (содержание учреждений физкультуры и спорта, проведение учебно-тренировочных, спортивно-оздоровительных сборов, соревнований и мероприятий)</t>
  </si>
  <si>
    <t>Донецкий областной совет</t>
  </si>
  <si>
    <t>070602</t>
  </si>
  <si>
    <t>Прочие расходы</t>
  </si>
  <si>
    <t>Библиотеки</t>
  </si>
  <si>
    <t>Помощь по уходу за инвалидами I или II группы вследствие психического расстройства</t>
  </si>
  <si>
    <t>всего</t>
  </si>
  <si>
    <t>41020600</t>
  </si>
  <si>
    <t>081009</t>
  </si>
  <si>
    <t>Мероприятия комплексной программы "Сахарный диабет" и лечение несахарного диабета</t>
  </si>
  <si>
    <t xml:space="preserve">240601  240602  240603  240604 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</si>
  <si>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Республике Крым 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</si>
  <si>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41035800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</si>
  <si>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</si>
  <si>
    <t>091303</t>
  </si>
  <si>
    <t xml:space="preserve">Установка телефонов инвалидам I и II групп </t>
  </si>
  <si>
    <t>Компенсационные выплаты инвалидам на бензин, ремонт, техобслуживание автотранспорта и транспортное обслуживание</t>
  </si>
  <si>
    <t>091304</t>
  </si>
  <si>
    <t xml:space="preserve">Установка телефонам инвалидам I и II групп </t>
  </si>
  <si>
    <t>110105</t>
  </si>
  <si>
    <t>Финансовая поддержка гастрольной деятельности</t>
  </si>
  <si>
    <t>250313</t>
  </si>
  <si>
    <t>Дополнительная дотация из государственного бюджета на выравнивание финансовой обеспеченности местных бюджетов</t>
  </si>
  <si>
    <t>250376</t>
  </si>
  <si>
    <t>250915</t>
  </si>
  <si>
    <t>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помощи".</t>
  </si>
  <si>
    <t>по главным распорядителям средств</t>
  </si>
  <si>
    <t>Субвенция из местного бюджета государственному бюджету на выполнение программ социально-экономического и культурного развития региона</t>
  </si>
  <si>
    <t>Филармонии, музыкальные коллективы и ансамбли  и прочие мероприятия и учреждения искусства</t>
  </si>
  <si>
    <t xml:space="preserve">110201   110202   110204
</t>
  </si>
  <si>
    <t>Учреждения культуры</t>
  </si>
  <si>
    <t>Прочие культурно-образовательные учреждения и мероприятия</t>
  </si>
  <si>
    <t>Прил.2</t>
  </si>
  <si>
    <t>250102</t>
  </si>
  <si>
    <t>240601  240602  240603  240604  240605</t>
  </si>
  <si>
    <t>Приложение 1</t>
  </si>
  <si>
    <t>Код</t>
  </si>
  <si>
    <t>Наименование доходов в соответствии с  бюджетной классификацией</t>
  </si>
  <si>
    <t>Общий фонд</t>
  </si>
  <si>
    <t>в т.ч. бюджет развития</t>
  </si>
  <si>
    <t>6=(гр.3+гр.4)</t>
  </si>
  <si>
    <t>Налоговые поступления</t>
  </si>
  <si>
    <t>Х</t>
  </si>
  <si>
    <t>Реализация отдельных природоохранных мероприятий</t>
  </si>
  <si>
    <t xml:space="preserve">Субвенция из государственного бюджета местным бюджетам на предоставление льгот  и жилищных субсидий населению наприобретение твердого и редкого печного  бытового топлива и сжиженого газа </t>
  </si>
  <si>
    <t>Субвенция на 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помощи".</t>
  </si>
  <si>
    <t xml:space="preserve">на ликвидацию последствий экономического кризиса и чрезвычайных ситуаций природного характера </t>
  </si>
  <si>
    <t>Расходы на покрытие прочих задолженностей, возникших в предшествующие годы</t>
  </si>
  <si>
    <t xml:space="preserve">    210105</t>
  </si>
  <si>
    <t>150202</t>
  </si>
  <si>
    <t>210000</t>
  </si>
  <si>
    <t>100202</t>
  </si>
  <si>
    <t>Водопроводно-канализационное хозяйство</t>
  </si>
  <si>
    <t>150101</t>
  </si>
  <si>
    <t>171000</t>
  </si>
  <si>
    <t>Деятельность и услуги, не отнесенные к другим категориям</t>
  </si>
  <si>
    <t>120100</t>
  </si>
  <si>
    <t>Телевидение и радиовещание</t>
  </si>
  <si>
    <t>Cредства полученные из общего фонда в бюджет развития</t>
  </si>
  <si>
    <t>Расходы областного бюджета на 2010 год</t>
  </si>
  <si>
    <t>Доходы областного бюджета на 2010 год</t>
  </si>
  <si>
    <t>Распределение расходов областного бюджета на 2010 год</t>
  </si>
  <si>
    <t>Распределение между местными бюджетами области объёмов межбюджетных трансфертов из государственного бюджета, предусмотренных приложением № 7 Закона Украины "О Государственном бюджете Украины на 2010 год"</t>
  </si>
  <si>
    <t>24062100</t>
  </si>
  <si>
    <t>X</t>
  </si>
  <si>
    <t>Субвенция из государственного бюджета местным бюджетам на завершение ремонтных работ учреждений, предоставляющих услуги детям и молодежи, создание которых было начато в 2007 году</t>
  </si>
  <si>
    <t xml:space="preserve">Субвенции из областного бюджета бюджетам городов и районов на 2010 год </t>
  </si>
  <si>
    <t>за счет резервного фонда</t>
  </si>
  <si>
    <t>250335</t>
  </si>
  <si>
    <t>Государственный архив в Донецкой области</t>
  </si>
  <si>
    <t>расходы по возмещению затрат на проведение работ по отчуждению объектов областной коммунальной собственности</t>
  </si>
  <si>
    <t>программа "Образование Донбасса 2007-2011гг."</t>
  </si>
  <si>
    <t>Разработка схем и проектных решений массового применения</t>
  </si>
  <si>
    <t xml:space="preserve">Капитальные вложения   </t>
  </si>
  <si>
    <t>на проведение выборов депутатов ВР АРК, местных советов и сельских, поселковых, городских голов</t>
  </si>
  <si>
    <t>41037000</t>
  </si>
  <si>
    <t>Субвенция из государственного бюджета местным бюджетам на на проведение выборов депутатов ВР АРК, местных советов и сельских, поселковых, городских голов</t>
  </si>
  <si>
    <t>250388</t>
  </si>
  <si>
    <t>100101</t>
  </si>
  <si>
    <t>100201</t>
  </si>
  <si>
    <t>Жилищно-эксплуатационное хозяйство</t>
  </si>
  <si>
    <t>Тепловые сети</t>
  </si>
  <si>
    <t>120201</t>
  </si>
  <si>
    <t>Периодические издания (газеты и журналы)</t>
  </si>
  <si>
    <t>160000</t>
  </si>
  <si>
    <t>Сельское и лесное хозяйство, рыбное хозяйство и охота</t>
  </si>
  <si>
    <t>160903</t>
  </si>
  <si>
    <t>Программы в отрасли сельского хозяйства, лесного хозяйства, рыболовства и охоты</t>
  </si>
  <si>
    <t>180404</t>
  </si>
  <si>
    <t>Поддержка малого и среднего предпринимательства</t>
  </si>
  <si>
    <t xml:space="preserve">Реализация отдельных мероприятий по развитию земельных отношений и охраны земель </t>
  </si>
  <si>
    <t>Управление информационной политики и по вопросам прессы облгосадминистрации</t>
  </si>
  <si>
    <t>Главное управление по вопросам чрезвычайных ситуаций, мобилизационной и оборонной работы облгосадминистрации</t>
  </si>
  <si>
    <t xml:space="preserve">Предупреждение и ликвидация чрезвычайных ситуаций и последствий стихийного бедствия </t>
  </si>
  <si>
    <t>Главное управление экономики облгосадминистрации</t>
  </si>
  <si>
    <t xml:space="preserve">Разработка схем и проектных решений массового применения </t>
  </si>
  <si>
    <t>Главное управление промышленности и развития инфраструктуры облгосадминистрации</t>
  </si>
  <si>
    <t>Главное управление агропромышленного развития облгосадминистрации</t>
  </si>
  <si>
    <t>Детская юношеская спортивная школа управления образования и науки</t>
  </si>
  <si>
    <t>41030500</t>
  </si>
  <si>
    <t>Расходы за счёт субвенции из государственного бюджета местным бюджетам на завершение ремонтных работ учреждений, предоставляющих услуги детям и молодежи, создание которых было начато в 2007 году</t>
  </si>
  <si>
    <t>Приложение 6</t>
  </si>
  <si>
    <t>Наименование</t>
  </si>
  <si>
    <t>Специальный фонд</t>
  </si>
  <si>
    <t>Внутреннее финансирование</t>
  </si>
  <si>
    <t>Финансирование за счет изменения остатков средств бюджетов</t>
  </si>
  <si>
    <t>На начало периода</t>
  </si>
  <si>
    <t>Финансирование областного бюджета за счёт остатков средств на 01.01.2010 года</t>
  </si>
  <si>
    <t xml:space="preserve">компенсация за льготный проезд в железнодорожном транспорте </t>
  </si>
  <si>
    <t>пригородного сообщения отдельных категорий граждан</t>
  </si>
  <si>
    <t>междугороднего сообщения</t>
  </si>
  <si>
    <t xml:space="preserve">на погашение задолженности по расходам 2009 года, проводимым за счет субвенций из областного бюджета </t>
  </si>
  <si>
    <t>Субвенция на выполнение собственных полномочий территориальных громад сел, поселков, городов и их объединений</t>
  </si>
  <si>
    <t xml:space="preserve">Денежные взыскания за ущерб, причинённый нарушением законодательства про охрану окружающей среды вследствии хозяйственной и другой деятельности </t>
  </si>
  <si>
    <t xml:space="preserve">Объем средств субвенций, передаваемых областному бюджету бюджетами городов областного значения и районными бюджетами на выполнение государственных, региональных программ и совместных мероприятий </t>
  </si>
  <si>
    <t>№ п/п</t>
  </si>
  <si>
    <t>КФК расходов</t>
  </si>
  <si>
    <t>120000</t>
  </si>
  <si>
    <t>Главный распорядитель</t>
  </si>
  <si>
    <t>Управление по делам семьи и молодежи</t>
  </si>
  <si>
    <t>Управление по делам прессы и информации</t>
  </si>
  <si>
    <t>Наименование мероприятий</t>
  </si>
  <si>
    <t>Проведение оздоровления и летнего отдыха детей</t>
  </si>
  <si>
    <t>Организация централизованного обеспечения коммунальных газет области бумагой</t>
  </si>
  <si>
    <t>Фонд</t>
  </si>
  <si>
    <t>Димитров</t>
  </si>
  <si>
    <t>Всего по бюджетам городов</t>
  </si>
  <si>
    <t xml:space="preserve">Великоновоселковский </t>
  </si>
  <si>
    <t xml:space="preserve">Волновахский </t>
  </si>
  <si>
    <t xml:space="preserve">Володарский </t>
  </si>
  <si>
    <t xml:space="preserve">Константиновский </t>
  </si>
  <si>
    <t xml:space="preserve">Красноармейский </t>
  </si>
  <si>
    <t xml:space="preserve">Новоазовский </t>
  </si>
  <si>
    <t xml:space="preserve">Александровский </t>
  </si>
  <si>
    <t xml:space="preserve">Першотравневый </t>
  </si>
  <si>
    <t xml:space="preserve">Славянский </t>
  </si>
  <si>
    <t xml:space="preserve">Старобешевский </t>
  </si>
  <si>
    <t xml:space="preserve">Тельмановский </t>
  </si>
  <si>
    <t xml:space="preserve">Шахтерский </t>
  </si>
  <si>
    <t>Всего по бюджетам районов</t>
  </si>
  <si>
    <t>Всего по бюджетам</t>
  </si>
  <si>
    <t xml:space="preserve">              Приложение 7</t>
  </si>
  <si>
    <t>программа информатизации Донецкой области на 2010-2012 гг.</t>
  </si>
  <si>
    <t xml:space="preserve"> Главное управление жилищно-коммунального хозяйства облгосадминистрации</t>
  </si>
  <si>
    <t>на завершение ремонтных работ учреждений, предоставляющих услуги детям и молодежи, создание которых было начато в 2007 году</t>
  </si>
  <si>
    <t>капитальный ремонт домов (квартир), санаторно-курортное лечение, компенсация расходов на автомобильное топливо, захоронение, сооружение памятников, одноразовая помощь  в случае смерти, компенсация за льготный  междугородний проезд гражданам, которые пострадали вследствие аварии на ЧАЭС, компенсация за льготный проезд воздушным транспортом</t>
  </si>
  <si>
    <t>Финансирование по активным операциям</t>
  </si>
  <si>
    <t>Изменение объемов денежных средств</t>
  </si>
  <si>
    <t>180409</t>
  </si>
  <si>
    <t>Взносы органов власти Автономной Республики Крым и органов местного самоуправления в уставные фонды субъектов предпринимательской деятельности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</si>
  <si>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 бытового мусора и жидких нечистот) и компенсацию за льготный проезд отдельных категорий граждан</t>
  </si>
  <si>
    <t>Субвенция из государственного бюджета местным бюджетам на предоставление льгот по услугам связи и других предусмотренных законодательством льгот (кроме льгот на получение лекарства,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 бытового мусора и жидких нечистот) и компенсацию за льготный проезд отдельных категорий граждан</t>
  </si>
  <si>
    <t>Расходы на погашение прочих задолженностей, возникших в предыдущие годы</t>
  </si>
  <si>
    <t xml:space="preserve">Программа стабилизации и социально-экономического развития территорий </t>
  </si>
  <si>
    <t xml:space="preserve">Образование (высшие учреждения образования І-ІІ уровней аккредитации; прочие учреждения и мероприятия последипломного образования) </t>
  </si>
  <si>
    <t xml:space="preserve">Водопроводно-канализационное хозяйство </t>
  </si>
  <si>
    <t xml:space="preserve">Расходы на предупреждение и ликвидацию чрезвычайных ситуаций и последствий стихийного бедствия </t>
  </si>
  <si>
    <t>Образование (учреждения образования, программы и мероприятия в сфере образования)</t>
  </si>
  <si>
    <t>130202</t>
  </si>
  <si>
    <t>Проведение мероприятий по нетрадиционным видам спорта и массовых мероприятий по физической культуре (которые проводятся общественными организациями физкультурно-спортивного направленности)</t>
  </si>
  <si>
    <t xml:space="preserve">укрепление материально-технической базы детских молочных кухонь при лечебных учреждениях коммунальной собственности городов и районов Донецкой области </t>
  </si>
  <si>
    <t>41034800</t>
  </si>
  <si>
    <t>091111</t>
  </si>
  <si>
    <t>130112</t>
  </si>
  <si>
    <t>Управление градостроительства и архитектуры облгосадминистрации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</si>
</sst>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  <numFmt numFmtId="180" formatCode="#,##0.000"/>
    <numFmt numFmtId="181" formatCode="#,##0.0000"/>
    <numFmt numFmtId="182" formatCode="#,##0.000000"/>
    <numFmt numFmtId="183" formatCode="0.0%"/>
    <numFmt numFmtId="184" formatCode="0.0000"/>
    <numFmt numFmtId="185" formatCode="0.00000"/>
    <numFmt numFmtId="186" formatCode="0.000"/>
    <numFmt numFmtId="187" formatCode="#,##0.000_ ;[Red]\-#,##0.000\ "/>
    <numFmt numFmtId="188" formatCode="0.000E+00"/>
    <numFmt numFmtId="189" formatCode="0.0E+00"/>
    <numFmt numFmtId="190" formatCode="0E+00"/>
    <numFmt numFmtId="191" formatCode="0.000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sz val="10"/>
      <name val="Helv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10"/>
      <name val="Arial"/>
      <family val="0"/>
    </font>
    <font>
      <sz val="11.5"/>
      <name val="Times New Roman"/>
      <family val="1"/>
    </font>
    <font>
      <b/>
      <sz val="11"/>
      <name val="Times New Roman"/>
      <family val="1"/>
    </font>
    <font>
      <sz val="11"/>
      <name val="Helv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left" vertical="center" wrapText="1"/>
    </xf>
    <xf numFmtId="172" fontId="1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 wrapText="1"/>
    </xf>
    <xf numFmtId="172" fontId="3" fillId="0" borderId="4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2" fontId="1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4" xfId="0" applyNumberFormat="1" applyFont="1" applyFill="1" applyBorder="1" applyAlignment="1">
      <alignment horizontal="left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/>
    </xf>
    <xf numFmtId="172" fontId="5" fillId="0" borderId="4" xfId="0" applyNumberFormat="1" applyFont="1" applyFill="1" applyBorder="1" applyAlignment="1">
      <alignment horizontal="center"/>
    </xf>
    <xf numFmtId="172" fontId="3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 wrapText="1" shrinkToFit="1"/>
    </xf>
    <xf numFmtId="172" fontId="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172" fontId="1" fillId="0" borderId="6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 vertical="top" wrapText="1"/>
    </xf>
    <xf numFmtId="172" fontId="3" fillId="0" borderId="4" xfId="0" applyNumberFormat="1" applyFont="1" applyFill="1" applyBorder="1" applyAlignment="1">
      <alignment horizontal="right" vertical="top"/>
    </xf>
    <xf numFmtId="49" fontId="3" fillId="0" borderId="5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172" fontId="1" fillId="0" borderId="6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 shrinkToFit="1"/>
    </xf>
    <xf numFmtId="0" fontId="1" fillId="0" borderId="4" xfId="0" applyFont="1" applyFill="1" applyBorder="1" applyAlignment="1">
      <alignment/>
    </xf>
    <xf numFmtId="172" fontId="3" fillId="0" borderId="7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1" fillId="0" borderId="4" xfId="0" applyFont="1" applyFill="1" applyBorder="1" applyAlignment="1">
      <alignment vertical="center" wrapText="1"/>
    </xf>
    <xf numFmtId="172" fontId="1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vertical="top" wrapText="1"/>
    </xf>
    <xf numFmtId="172" fontId="3" fillId="0" borderId="7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wrapText="1" shrinkToFi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 shrinkToFit="1"/>
    </xf>
    <xf numFmtId="0" fontId="1" fillId="0" borderId="3" xfId="0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 shrinkToFit="1"/>
    </xf>
    <xf numFmtId="172" fontId="1" fillId="0" borderId="10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172" fontId="9" fillId="0" borderId="4" xfId="0" applyNumberFormat="1" applyFont="1" applyFill="1" applyBorder="1" applyAlignment="1">
      <alignment horizontal="center"/>
    </xf>
    <xf numFmtId="172" fontId="1" fillId="0" borderId="6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 shrinkToFit="1"/>
    </xf>
    <xf numFmtId="172" fontId="3" fillId="0" borderId="4" xfId="0" applyNumberFormat="1" applyFont="1" applyFill="1" applyBorder="1" applyAlignment="1">
      <alignment horizontal="center"/>
    </xf>
    <xf numFmtId="172" fontId="3" fillId="0" borderId="6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 shrinkToFit="1"/>
    </xf>
    <xf numFmtId="172" fontId="1" fillId="0" borderId="4" xfId="0" applyNumberFormat="1" applyFont="1" applyFill="1" applyBorder="1" applyAlignment="1">
      <alignment horizontal="center" vertical="center"/>
    </xf>
    <xf numFmtId="172" fontId="1" fillId="0" borderId="6" xfId="0" applyNumberFormat="1" applyFont="1" applyFill="1" applyBorder="1" applyAlignment="1">
      <alignment horizontal="center" vertical="center"/>
    </xf>
    <xf numFmtId="172" fontId="10" fillId="0" borderId="4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172" fontId="1" fillId="0" borderId="12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172" fontId="1" fillId="0" borderId="15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 vertical="center"/>
    </xf>
    <xf numFmtId="172" fontId="13" fillId="0" borderId="4" xfId="0" applyNumberFormat="1" applyFont="1" applyFill="1" applyBorder="1" applyAlignment="1">
      <alignment horizontal="right"/>
    </xf>
    <xf numFmtId="172" fontId="14" fillId="0" borderId="4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6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2" fontId="14" fillId="0" borderId="4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right"/>
    </xf>
    <xf numFmtId="172" fontId="14" fillId="0" borderId="12" xfId="0" applyNumberFormat="1" applyFont="1" applyFill="1" applyBorder="1" applyAlignment="1">
      <alignment horizontal="right"/>
    </xf>
    <xf numFmtId="172" fontId="13" fillId="0" borderId="4" xfId="0" applyNumberFormat="1" applyFont="1" applyFill="1" applyBorder="1" applyAlignment="1">
      <alignment horizontal="right" vertical="top"/>
    </xf>
    <xf numFmtId="172" fontId="1" fillId="0" borderId="4" xfId="0" applyNumberFormat="1" applyFont="1" applyFill="1" applyBorder="1" applyAlignment="1">
      <alignment horizontal="right" vertical="top"/>
    </xf>
    <xf numFmtId="49" fontId="3" fillId="0" borderId="4" xfId="0" applyNumberFormat="1" applyFont="1" applyFill="1" applyBorder="1" applyAlignment="1">
      <alignment horizontal="left" wrapText="1"/>
    </xf>
    <xf numFmtId="172" fontId="3" fillId="0" borderId="12" xfId="0" applyNumberFormat="1" applyFont="1" applyFill="1" applyBorder="1" applyAlignment="1">
      <alignment horizontal="right"/>
    </xf>
    <xf numFmtId="172" fontId="1" fillId="0" borderId="17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 shrinkToFit="1"/>
    </xf>
    <xf numFmtId="172" fontId="3" fillId="0" borderId="18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center" vertical="top"/>
    </xf>
    <xf numFmtId="172" fontId="1" fillId="2" borderId="4" xfId="0" applyNumberFormat="1" applyFont="1" applyFill="1" applyBorder="1" applyAlignment="1">
      <alignment horizontal="center"/>
    </xf>
    <xf numFmtId="172" fontId="1" fillId="2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2" fontId="4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 shrinkToFit="1"/>
    </xf>
    <xf numFmtId="172" fontId="1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 shrinkToFit="1"/>
    </xf>
    <xf numFmtId="172" fontId="4" fillId="0" borderId="0" xfId="0" applyNumberFormat="1" applyFont="1" applyFill="1" applyBorder="1" applyAlignment="1">
      <alignment horizontal="left" wrapText="1" shrinkToFit="1"/>
    </xf>
    <xf numFmtId="0" fontId="1" fillId="2" borderId="4" xfId="0" applyNumberFormat="1" applyFont="1" applyFill="1" applyBorder="1" applyAlignment="1">
      <alignment vertical="top" wrapText="1"/>
    </xf>
    <xf numFmtId="172" fontId="1" fillId="0" borderId="18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172" fontId="3" fillId="0" borderId="4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72" fontId="5" fillId="0" borderId="4" xfId="0" applyNumberFormat="1" applyFont="1" applyFill="1" applyBorder="1" applyAlignment="1">
      <alignment horizontal="right" vertical="top"/>
    </xf>
    <xf numFmtId="172" fontId="3" fillId="0" borderId="0" xfId="0" applyNumberFormat="1" applyFont="1" applyFill="1" applyAlignment="1">
      <alignment/>
    </xf>
    <xf numFmtId="172" fontId="1" fillId="0" borderId="12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172" fontId="6" fillId="0" borderId="0" xfId="0" applyNumberFormat="1" applyFont="1" applyFill="1" applyAlignment="1">
      <alignment horizontal="right"/>
    </xf>
    <xf numFmtId="172" fontId="1" fillId="0" borderId="18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1" fillId="2" borderId="23" xfId="0" applyNumberFormat="1" applyFont="1" applyFill="1" applyBorder="1" applyAlignment="1">
      <alignment horizontal="center" vertical="top"/>
    </xf>
    <xf numFmtId="0" fontId="1" fillId="2" borderId="24" xfId="0" applyFont="1" applyFill="1" applyBorder="1" applyAlignment="1">
      <alignment vertical="top" wrapText="1"/>
    </xf>
    <xf numFmtId="172" fontId="1" fillId="2" borderId="24" xfId="0" applyNumberFormat="1" applyFont="1" applyFill="1" applyBorder="1" applyAlignment="1">
      <alignment horizontal="center"/>
    </xf>
    <xf numFmtId="172" fontId="3" fillId="0" borderId="25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73" fontId="17" fillId="0" borderId="26" xfId="0" applyNumberFormat="1" applyFont="1" applyFill="1" applyBorder="1" applyAlignment="1">
      <alignment horizontal="center"/>
    </xf>
    <xf numFmtId="172" fontId="17" fillId="0" borderId="4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/>
    </xf>
    <xf numFmtId="172" fontId="17" fillId="0" borderId="12" xfId="0" applyNumberFormat="1" applyFont="1" applyFill="1" applyBorder="1" applyAlignment="1">
      <alignment horizontal="center"/>
    </xf>
    <xf numFmtId="173" fontId="17" fillId="0" borderId="4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4" xfId="0" applyNumberFormat="1" applyFont="1" applyFill="1" applyBorder="1" applyAlignment="1">
      <alignment horizontal="center"/>
    </xf>
    <xf numFmtId="173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19" fillId="0" borderId="4" xfId="15" applyFont="1" applyBorder="1">
      <alignment/>
      <protection/>
    </xf>
    <xf numFmtId="172" fontId="17" fillId="0" borderId="18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8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17" fillId="0" borderId="28" xfId="0" applyNumberFormat="1" applyFont="1" applyBorder="1" applyAlignment="1">
      <alignment horizontal="center" vertical="center" wrapText="1"/>
    </xf>
    <xf numFmtId="173" fontId="17" fillId="0" borderId="0" xfId="0" applyNumberFormat="1" applyFont="1" applyFill="1" applyBorder="1" applyAlignment="1">
      <alignment horizontal="center" vertical="center" wrapText="1"/>
    </xf>
    <xf numFmtId="172" fontId="17" fillId="0" borderId="0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173" fontId="17" fillId="0" borderId="0" xfId="0" applyNumberFormat="1" applyFont="1" applyBorder="1" applyAlignment="1">
      <alignment horizontal="center" vertical="center" wrapText="1"/>
    </xf>
    <xf numFmtId="172" fontId="17" fillId="0" borderId="4" xfId="0" applyNumberFormat="1" applyFont="1" applyFill="1" applyBorder="1" applyAlignment="1">
      <alignment horizontal="center" vertical="center"/>
    </xf>
    <xf numFmtId="173" fontId="17" fillId="0" borderId="0" xfId="0" applyNumberFormat="1" applyFont="1" applyFill="1" applyBorder="1" applyAlignment="1">
      <alignment horizontal="center" vertical="center"/>
    </xf>
    <xf numFmtId="172" fontId="17" fillId="0" borderId="4" xfId="0" applyNumberFormat="1" applyFont="1" applyBorder="1" applyAlignment="1">
      <alignment horizontal="center"/>
    </xf>
    <xf numFmtId="173" fontId="17" fillId="0" borderId="0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 vertical="center" wrapText="1"/>
    </xf>
    <xf numFmtId="172" fontId="17" fillId="0" borderId="18" xfId="0" applyNumberFormat="1" applyFont="1" applyBorder="1" applyAlignment="1">
      <alignment horizontal="center"/>
    </xf>
    <xf numFmtId="172" fontId="17" fillId="0" borderId="15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29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172" fontId="17" fillId="0" borderId="0" xfId="0" applyNumberFormat="1" applyFont="1" applyFill="1" applyAlignment="1">
      <alignment vertical="center"/>
    </xf>
    <xf numFmtId="173" fontId="17" fillId="0" borderId="12" xfId="0" applyNumberFormat="1" applyFont="1" applyFill="1" applyBorder="1" applyAlignment="1">
      <alignment horizontal="center" vertical="center" wrapText="1"/>
    </xf>
    <xf numFmtId="173" fontId="21" fillId="0" borderId="12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left" vertical="top" wrapText="1"/>
    </xf>
    <xf numFmtId="172" fontId="21" fillId="0" borderId="12" xfId="0" applyNumberFormat="1" applyFont="1" applyFill="1" applyBorder="1" applyAlignment="1">
      <alignment horizontal="center" vertical="center" wrapText="1"/>
    </xf>
    <xf numFmtId="172" fontId="1" fillId="2" borderId="15" xfId="0" applyNumberFormat="1" applyFont="1" applyFill="1" applyBorder="1" applyAlignment="1">
      <alignment horizontal="center"/>
    </xf>
    <xf numFmtId="172" fontId="17" fillId="0" borderId="4" xfId="0" applyNumberFormat="1" applyFont="1" applyFill="1" applyBorder="1" applyAlignment="1">
      <alignment horizontal="center" vertical="justify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Fill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9" fontId="2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172" fontId="17" fillId="0" borderId="4" xfId="0" applyNumberFormat="1" applyFont="1" applyBorder="1" applyAlignment="1">
      <alignment horizontal="center" vertical="center" wrapText="1"/>
    </xf>
    <xf numFmtId="172" fontId="17" fillId="0" borderId="4" xfId="0" applyNumberFormat="1" applyFont="1" applyFill="1" applyBorder="1" applyAlignment="1">
      <alignment horizontal="center" vertical="center" wrapText="1"/>
    </xf>
    <xf numFmtId="172" fontId="17" fillId="0" borderId="32" xfId="0" applyNumberFormat="1" applyFont="1" applyBorder="1" applyAlignment="1">
      <alignment horizontal="center" vertical="center" wrapText="1"/>
    </xf>
    <xf numFmtId="0" fontId="17" fillId="0" borderId="4" xfId="0" applyFont="1" applyFill="1" applyBorder="1" applyAlignment="1">
      <alignment/>
    </xf>
    <xf numFmtId="172" fontId="17" fillId="0" borderId="0" xfId="0" applyNumberFormat="1" applyFont="1" applyBorder="1" applyAlignment="1">
      <alignment horizontal="center" vertical="center" wrapText="1"/>
    </xf>
    <xf numFmtId="172" fontId="17" fillId="0" borderId="33" xfId="0" applyNumberFormat="1" applyFont="1" applyBorder="1" applyAlignment="1">
      <alignment horizontal="center" vertical="center" wrapText="1"/>
    </xf>
    <xf numFmtId="172" fontId="17" fillId="0" borderId="33" xfId="0" applyNumberFormat="1" applyFont="1" applyFill="1" applyBorder="1" applyAlignment="1">
      <alignment horizontal="center" vertical="center" wrapText="1"/>
    </xf>
    <xf numFmtId="172" fontId="17" fillId="0" borderId="28" xfId="0" applyNumberFormat="1" applyFont="1" applyFill="1" applyBorder="1" applyAlignment="1">
      <alignment horizontal="center" vertical="center" wrapText="1"/>
    </xf>
    <xf numFmtId="172" fontId="17" fillId="0" borderId="4" xfId="0" applyNumberFormat="1" applyFont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172" fontId="17" fillId="0" borderId="33" xfId="0" applyNumberFormat="1" applyFont="1" applyBorder="1" applyAlignment="1">
      <alignment horizontal="center" vertical="center"/>
    </xf>
    <xf numFmtId="172" fontId="17" fillId="0" borderId="28" xfId="0" applyNumberFormat="1" applyFont="1" applyBorder="1" applyAlignment="1">
      <alignment horizontal="center" vertical="center"/>
    </xf>
    <xf numFmtId="172" fontId="17" fillId="0" borderId="33" xfId="0" applyNumberFormat="1" applyFont="1" applyFill="1" applyBorder="1" applyAlignment="1">
      <alignment horizontal="center" vertical="center"/>
    </xf>
    <xf numFmtId="172" fontId="17" fillId="0" borderId="28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/>
    </xf>
    <xf numFmtId="172" fontId="17" fillId="0" borderId="17" xfId="0" applyNumberFormat="1" applyFont="1" applyFill="1" applyBorder="1" applyAlignment="1">
      <alignment horizontal="center"/>
    </xf>
    <xf numFmtId="172" fontId="17" fillId="0" borderId="28" xfId="0" applyNumberFormat="1" applyFont="1" applyFill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/>
    </xf>
    <xf numFmtId="172" fontId="17" fillId="0" borderId="17" xfId="0" applyNumberFormat="1" applyFont="1" applyBorder="1" applyAlignment="1">
      <alignment horizontal="center"/>
    </xf>
    <xf numFmtId="172" fontId="17" fillId="0" borderId="28" xfId="0" applyNumberFormat="1" applyFont="1" applyBorder="1" applyAlignment="1">
      <alignment horizontal="center"/>
    </xf>
    <xf numFmtId="172" fontId="1" fillId="0" borderId="4" xfId="0" applyNumberFormat="1" applyFont="1" applyFill="1" applyBorder="1" applyAlignment="1">
      <alignment horizontal="center" vertical="justify"/>
    </xf>
    <xf numFmtId="172" fontId="17" fillId="0" borderId="6" xfId="0" applyNumberFormat="1" applyFont="1" applyBorder="1" applyAlignment="1">
      <alignment horizontal="center" vertical="center" wrapText="1"/>
    </xf>
    <xf numFmtId="172" fontId="17" fillId="0" borderId="34" xfId="0" applyNumberFormat="1" applyFont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172" fontId="2" fillId="0" borderId="20" xfId="0" applyNumberFormat="1" applyFont="1" applyBorder="1" applyAlignment="1">
      <alignment horizontal="center"/>
    </xf>
    <xf numFmtId="173" fontId="17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72" fontId="2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top"/>
    </xf>
    <xf numFmtId="173" fontId="3" fillId="0" borderId="0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23" fillId="0" borderId="3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172" fontId="1" fillId="0" borderId="4" xfId="0" applyNumberFormat="1" applyFont="1" applyBorder="1" applyAlignment="1">
      <alignment/>
    </xf>
    <xf numFmtId="180" fontId="3" fillId="0" borderId="4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180" fontId="1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180" fontId="17" fillId="0" borderId="4" xfId="0" applyNumberFormat="1" applyFont="1" applyBorder="1" applyAlignment="1">
      <alignment horizontal="center" vertical="center" wrapText="1"/>
    </xf>
    <xf numFmtId="180" fontId="17" fillId="0" borderId="4" xfId="0" applyNumberFormat="1" applyFont="1" applyFill="1" applyBorder="1" applyAlignment="1">
      <alignment horizontal="center" vertical="center" wrapText="1"/>
    </xf>
    <xf numFmtId="180" fontId="17" fillId="0" borderId="4" xfId="0" applyNumberFormat="1" applyFont="1" applyFill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180" fontId="14" fillId="2" borderId="4" xfId="0" applyNumberFormat="1" applyFont="1" applyFill="1" applyBorder="1" applyAlignment="1">
      <alignment/>
    </xf>
    <xf numFmtId="180" fontId="1" fillId="0" borderId="4" xfId="0" applyNumberFormat="1" applyFont="1" applyFill="1" applyBorder="1" applyAlignment="1">
      <alignment/>
    </xf>
    <xf numFmtId="180" fontId="21" fillId="0" borderId="12" xfId="0" applyNumberFormat="1" applyFont="1" applyFill="1" applyBorder="1" applyAlignment="1">
      <alignment horizontal="center" vertical="center" wrapText="1"/>
    </xf>
    <xf numFmtId="180" fontId="17" fillId="0" borderId="18" xfId="0" applyNumberFormat="1" applyFont="1" applyFill="1" applyBorder="1" applyAlignment="1">
      <alignment horizontal="center"/>
    </xf>
    <xf numFmtId="172" fontId="2" fillId="0" borderId="4" xfId="0" applyNumberFormat="1" applyFont="1" applyBorder="1" applyAlignment="1">
      <alignment horizontal="center" wrapText="1"/>
    </xf>
    <xf numFmtId="172" fontId="17" fillId="0" borderId="4" xfId="0" applyNumberFormat="1" applyFont="1" applyBorder="1" applyAlignment="1">
      <alignment horizontal="center" wrapText="1"/>
    </xf>
    <xf numFmtId="0" fontId="22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/>
    </xf>
    <xf numFmtId="0" fontId="16" fillId="0" borderId="42" xfId="0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center" wrapText="1" shrinkToFit="1"/>
    </xf>
    <xf numFmtId="0" fontId="3" fillId="0" borderId="27" xfId="0" applyFont="1" applyFill="1" applyBorder="1" applyAlignment="1">
      <alignment horizontal="center" wrapText="1" shrinkToFit="1"/>
    </xf>
    <xf numFmtId="0" fontId="3" fillId="0" borderId="20" xfId="0" applyFont="1" applyFill="1" applyBorder="1" applyAlignment="1">
      <alignment horizontal="center" wrapText="1" shrinkToFit="1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wrapText="1" shrinkToFit="1"/>
    </xf>
    <xf numFmtId="0" fontId="1" fillId="0" borderId="44" xfId="0" applyFont="1" applyFill="1" applyBorder="1" applyAlignment="1">
      <alignment horizontal="center" wrapText="1" shrinkToFi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45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 wrapText="1"/>
    </xf>
    <xf numFmtId="49" fontId="1" fillId="0" borderId="44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9" fontId="22" fillId="0" borderId="8" xfId="0" applyNumberFormat="1" applyFont="1" applyFill="1" applyBorder="1" applyAlignment="1">
      <alignment horizontal="center" vertical="center" wrapText="1"/>
    </xf>
    <xf numFmtId="9" fontId="22" fillId="0" borderId="2" xfId="0" applyNumberFormat="1" applyFont="1" applyFill="1" applyBorder="1" applyAlignment="1">
      <alignment horizontal="center" vertical="center" wrapText="1"/>
    </xf>
    <xf numFmtId="9" fontId="2" fillId="0" borderId="44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2" fillId="0" borderId="44" xfId="0" applyNumberFormat="1" applyFont="1" applyFill="1" applyBorder="1" applyAlignment="1">
      <alignment horizontal="center" vertical="center" wrapText="1"/>
    </xf>
    <xf numFmtId="172" fontId="22" fillId="0" borderId="8" xfId="0" applyNumberFormat="1" applyFont="1" applyFill="1" applyBorder="1" applyAlignment="1">
      <alignment horizontal="center" vertical="center"/>
    </xf>
    <xf numFmtId="172" fontId="22" fillId="0" borderId="44" xfId="0" applyNumberFormat="1" applyFont="1" applyFill="1" applyBorder="1" applyAlignment="1">
      <alignment horizontal="center" vertical="center"/>
    </xf>
    <xf numFmtId="172" fontId="22" fillId="0" borderId="2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9" fontId="22" fillId="0" borderId="40" xfId="0" applyNumberFormat="1" applyFont="1" applyFill="1" applyBorder="1" applyAlignment="1">
      <alignment horizontal="center" vertical="center" wrapText="1"/>
    </xf>
    <xf numFmtId="9" fontId="22" fillId="0" borderId="25" xfId="0" applyNumberFormat="1" applyFont="1" applyFill="1" applyBorder="1" applyAlignment="1">
      <alignment horizontal="center" vertical="center" wrapText="1"/>
    </xf>
    <xf numFmtId="9" fontId="22" fillId="0" borderId="47" xfId="0" applyNumberFormat="1" applyFont="1" applyFill="1" applyBorder="1" applyAlignment="1">
      <alignment horizontal="center" vertical="center" wrapText="1"/>
    </xf>
    <xf numFmtId="9" fontId="22" fillId="0" borderId="3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173" fontId="17" fillId="0" borderId="0" xfId="0" applyNumberFormat="1" applyFont="1" applyFill="1" applyAlignment="1">
      <alignment horizontal="center"/>
    </xf>
    <xf numFmtId="0" fontId="0" fillId="0" borderId="49" xfId="0" applyFill="1" applyBorder="1" applyAlignment="1">
      <alignment horizontal="center" vertical="center" wrapText="1"/>
    </xf>
  </cellXfs>
  <cellStyles count="9">
    <cellStyle name="Normal" xfId="0"/>
    <cellStyle name="Normal_Доход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38100</xdr:rowOff>
    </xdr:from>
    <xdr:to>
      <xdr:col>2</xdr:col>
      <xdr:colOff>733425</xdr:colOff>
      <xdr:row>9</xdr:row>
      <xdr:rowOff>2047875</xdr:rowOff>
    </xdr:to>
    <xdr:sp>
      <xdr:nvSpPr>
        <xdr:cNvPr id="1" name="Line 1"/>
        <xdr:cNvSpPr>
          <a:spLocks/>
        </xdr:cNvSpPr>
      </xdr:nvSpPr>
      <xdr:spPr>
        <a:xfrm>
          <a:off x="295275" y="2162175"/>
          <a:ext cx="146685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77"/>
  <sheetViews>
    <sheetView view="pageBreakPreview" zoomScale="75" zoomScaleSheetLayoutView="75" workbookViewId="0" topLeftCell="A1">
      <pane xSplit="2" ySplit="9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58" sqref="E58"/>
    </sheetView>
  </sheetViews>
  <sheetFormatPr defaultColWidth="9.00390625" defaultRowHeight="12.75"/>
  <cols>
    <col min="1" max="1" width="12.375" style="85" customWidth="1"/>
    <col min="2" max="2" width="51.375" style="86" customWidth="1"/>
    <col min="3" max="3" width="11.00390625" style="44" customWidth="1"/>
    <col min="4" max="4" width="11.375" style="44" customWidth="1"/>
    <col min="5" max="5" width="10.125" style="44" customWidth="1"/>
    <col min="6" max="6" width="11.375" style="44" customWidth="1"/>
    <col min="7" max="8" width="10.00390625" style="44" bestFit="1" customWidth="1"/>
    <col min="9" max="9" width="9.375" style="44" bestFit="1" customWidth="1"/>
    <col min="10" max="10" width="10.375" style="44" bestFit="1" customWidth="1"/>
    <col min="11" max="11" width="10.00390625" style="44" bestFit="1" customWidth="1"/>
    <col min="12" max="16384" width="9.125" style="44" customWidth="1"/>
  </cols>
  <sheetData>
    <row r="1" spans="2:6" ht="15.75">
      <c r="B1" s="44"/>
      <c r="D1" s="348" t="s">
        <v>280</v>
      </c>
      <c r="E1" s="348"/>
      <c r="F1" s="348"/>
    </row>
    <row r="2" spans="4:6" ht="15.75">
      <c r="D2" s="348" t="s">
        <v>186</v>
      </c>
      <c r="E2" s="348"/>
      <c r="F2" s="348"/>
    </row>
    <row r="3" spans="4:6" ht="15.75">
      <c r="D3" s="348"/>
      <c r="E3" s="348"/>
      <c r="F3" s="348"/>
    </row>
    <row r="4" spans="1:6" ht="15" customHeight="1">
      <c r="A4" s="349" t="s">
        <v>305</v>
      </c>
      <c r="B4" s="349"/>
      <c r="C4" s="349"/>
      <c r="D4" s="349"/>
      <c r="E4" s="349"/>
      <c r="F4" s="349"/>
    </row>
    <row r="5" ht="13.5" thickBot="1">
      <c r="F5" s="3" t="s">
        <v>37</v>
      </c>
    </row>
    <row r="6" ht="12" customHeight="1" hidden="1" thickBot="1"/>
    <row r="7" spans="1:6" ht="13.5" thickBot="1">
      <c r="A7" s="342" t="s">
        <v>281</v>
      </c>
      <c r="B7" s="344" t="s">
        <v>282</v>
      </c>
      <c r="C7" s="346" t="s">
        <v>283</v>
      </c>
      <c r="D7" s="334" t="s">
        <v>96</v>
      </c>
      <c r="E7" s="335"/>
      <c r="F7" s="336" t="s">
        <v>193</v>
      </c>
    </row>
    <row r="8" spans="1:18" ht="45" customHeight="1" thickBot="1">
      <c r="A8" s="343"/>
      <c r="B8" s="345"/>
      <c r="C8" s="347"/>
      <c r="D8" s="87" t="s">
        <v>251</v>
      </c>
      <c r="E8" s="88" t="s">
        <v>284</v>
      </c>
      <c r="F8" s="337"/>
      <c r="G8" s="6"/>
      <c r="R8" s="6"/>
    </row>
    <row r="9" spans="1:6" ht="13.5" thickBot="1">
      <c r="A9" s="89">
        <v>1</v>
      </c>
      <c r="B9" s="90">
        <v>2</v>
      </c>
      <c r="C9" s="91">
        <v>3</v>
      </c>
      <c r="D9" s="91">
        <v>4</v>
      </c>
      <c r="E9" s="91">
        <v>5</v>
      </c>
      <c r="F9" s="91" t="s">
        <v>285</v>
      </c>
    </row>
    <row r="10" spans="1:7" s="93" customFormat="1" ht="13.5" thickBot="1">
      <c r="A10" s="133">
        <v>10000000</v>
      </c>
      <c r="B10" s="134" t="s">
        <v>286</v>
      </c>
      <c r="C10" s="135">
        <f>C11+C17+C19</f>
        <v>1635350.8</v>
      </c>
      <c r="D10" s="135">
        <f>D15+D19</f>
        <v>44099</v>
      </c>
      <c r="E10" s="135" t="s">
        <v>287</v>
      </c>
      <c r="F10" s="136">
        <f>C10+D10</f>
        <v>1679449.8</v>
      </c>
      <c r="G10" s="92"/>
    </row>
    <row r="11" spans="1:6" ht="25.5">
      <c r="A11" s="94">
        <v>11000000</v>
      </c>
      <c r="B11" s="95" t="s">
        <v>9</v>
      </c>
      <c r="C11" s="96">
        <f>C12+C13</f>
        <v>1346325.8</v>
      </c>
      <c r="D11" s="96" t="s">
        <v>287</v>
      </c>
      <c r="E11" s="96" t="s">
        <v>287</v>
      </c>
      <c r="F11" s="97">
        <f>F12+F13</f>
        <v>1346325.8</v>
      </c>
    </row>
    <row r="12" spans="1:7" ht="12.75">
      <c r="A12" s="60">
        <v>11010000</v>
      </c>
      <c r="B12" s="42" t="s">
        <v>10</v>
      </c>
      <c r="C12" s="98">
        <v>1324298.8</v>
      </c>
      <c r="D12" s="43" t="s">
        <v>287</v>
      </c>
      <c r="E12" s="43" t="s">
        <v>287</v>
      </c>
      <c r="F12" s="99">
        <f>C12</f>
        <v>1324298.8</v>
      </c>
      <c r="G12" s="45"/>
    </row>
    <row r="13" spans="1:6" ht="12.75">
      <c r="A13" s="60">
        <v>11020000</v>
      </c>
      <c r="B13" s="42" t="s">
        <v>11</v>
      </c>
      <c r="C13" s="43">
        <v>22027</v>
      </c>
      <c r="D13" s="43" t="s">
        <v>287</v>
      </c>
      <c r="E13" s="43" t="s">
        <v>287</v>
      </c>
      <c r="F13" s="99">
        <f>C13</f>
        <v>22027</v>
      </c>
    </row>
    <row r="14" spans="1:6" ht="25.5">
      <c r="A14" s="60">
        <v>11020200</v>
      </c>
      <c r="B14" s="42" t="s">
        <v>0</v>
      </c>
      <c r="C14" s="98">
        <v>22027</v>
      </c>
      <c r="D14" s="43" t="s">
        <v>287</v>
      </c>
      <c r="E14" s="43" t="s">
        <v>287</v>
      </c>
      <c r="F14" s="99">
        <f>C14</f>
        <v>22027</v>
      </c>
    </row>
    <row r="15" spans="1:6" ht="12.75">
      <c r="A15" s="60">
        <v>12000000</v>
      </c>
      <c r="B15" s="42" t="s">
        <v>12</v>
      </c>
      <c r="C15" s="43" t="s">
        <v>287</v>
      </c>
      <c r="D15" s="43">
        <f>D16</f>
        <v>42500</v>
      </c>
      <c r="E15" s="43" t="s">
        <v>287</v>
      </c>
      <c r="F15" s="99">
        <f>F16</f>
        <v>42500</v>
      </c>
    </row>
    <row r="16" spans="1:6" ht="25.5">
      <c r="A16" s="60">
        <v>12020000</v>
      </c>
      <c r="B16" s="42" t="s">
        <v>13</v>
      </c>
      <c r="C16" s="43" t="s">
        <v>287</v>
      </c>
      <c r="D16" s="98">
        <v>42500</v>
      </c>
      <c r="E16" s="43" t="s">
        <v>287</v>
      </c>
      <c r="F16" s="99">
        <f>D16</f>
        <v>42500</v>
      </c>
    </row>
    <row r="17" spans="1:7" ht="16.5" customHeight="1">
      <c r="A17" s="60">
        <v>13000000</v>
      </c>
      <c r="B17" s="42" t="s">
        <v>14</v>
      </c>
      <c r="C17" s="43">
        <f>C18</f>
        <v>234000</v>
      </c>
      <c r="D17" s="43" t="s">
        <v>287</v>
      </c>
      <c r="E17" s="43" t="s">
        <v>287</v>
      </c>
      <c r="F17" s="99">
        <f>F18</f>
        <v>234000</v>
      </c>
      <c r="G17" s="45"/>
    </row>
    <row r="18" spans="1:6" ht="12.75">
      <c r="A18" s="60">
        <v>13050000</v>
      </c>
      <c r="B18" s="42" t="s">
        <v>15</v>
      </c>
      <c r="C18" s="98">
        <v>234000</v>
      </c>
      <c r="D18" s="43" t="s">
        <v>287</v>
      </c>
      <c r="E18" s="43" t="s">
        <v>287</v>
      </c>
      <c r="F18" s="99">
        <f>C18</f>
        <v>234000</v>
      </c>
    </row>
    <row r="19" spans="1:7" ht="13.5" customHeight="1">
      <c r="A19" s="60">
        <v>14000000</v>
      </c>
      <c r="B19" s="42" t="s">
        <v>16</v>
      </c>
      <c r="C19" s="43">
        <f>C20+C22+C23</f>
        <v>55025</v>
      </c>
      <c r="D19" s="43">
        <f>D24</f>
        <v>1599</v>
      </c>
      <c r="E19" s="43" t="s">
        <v>287</v>
      </c>
      <c r="F19" s="99">
        <f>C19+D19</f>
        <v>56624</v>
      </c>
      <c r="G19" s="45"/>
    </row>
    <row r="20" spans="1:6" ht="12" customHeight="1">
      <c r="A20" s="60">
        <v>14060200</v>
      </c>
      <c r="B20" s="42" t="s">
        <v>17</v>
      </c>
      <c r="C20" s="98">
        <v>11</v>
      </c>
      <c r="D20" s="43" t="s">
        <v>287</v>
      </c>
      <c r="E20" s="43" t="s">
        <v>287</v>
      </c>
      <c r="F20" s="99">
        <f>C20</f>
        <v>11</v>
      </c>
    </row>
    <row r="21" spans="1:6" ht="26.25" hidden="1">
      <c r="A21" s="60">
        <v>14060300</v>
      </c>
      <c r="B21" s="42" t="s">
        <v>18</v>
      </c>
      <c r="C21" s="40"/>
      <c r="D21" s="43" t="s">
        <v>287</v>
      </c>
      <c r="E21" s="43" t="s">
        <v>287</v>
      </c>
      <c r="F21" s="99">
        <f>C21</f>
        <v>0</v>
      </c>
    </row>
    <row r="22" spans="1:6" ht="25.5">
      <c r="A22" s="60" t="s">
        <v>97</v>
      </c>
      <c r="B22" s="42" t="s">
        <v>98</v>
      </c>
      <c r="C22" s="98">
        <v>14</v>
      </c>
      <c r="D22" s="43" t="s">
        <v>287</v>
      </c>
      <c r="E22" s="43" t="s">
        <v>287</v>
      </c>
      <c r="F22" s="99">
        <f>C22</f>
        <v>14</v>
      </c>
    </row>
    <row r="23" spans="1:7" ht="25.5">
      <c r="A23" s="60">
        <v>14061100</v>
      </c>
      <c r="B23" s="42" t="s">
        <v>19</v>
      </c>
      <c r="C23" s="98">
        <v>55000</v>
      </c>
      <c r="D23" s="43" t="s">
        <v>287</v>
      </c>
      <c r="E23" s="43" t="s">
        <v>287</v>
      </c>
      <c r="F23" s="99">
        <f>C23</f>
        <v>55000</v>
      </c>
      <c r="G23" s="45"/>
    </row>
    <row r="24" spans="1:6" ht="25.5">
      <c r="A24" s="60">
        <v>14070000</v>
      </c>
      <c r="B24" s="42" t="s">
        <v>20</v>
      </c>
      <c r="C24" s="43" t="s">
        <v>287</v>
      </c>
      <c r="D24" s="43">
        <f>D25</f>
        <v>1599</v>
      </c>
      <c r="E24" s="43" t="s">
        <v>287</v>
      </c>
      <c r="F24" s="99">
        <f>F25</f>
        <v>1599</v>
      </c>
    </row>
    <row r="25" spans="1:6" ht="39" customHeight="1">
      <c r="A25" s="60">
        <v>14071500</v>
      </c>
      <c r="B25" s="42" t="s">
        <v>21</v>
      </c>
      <c r="C25" s="43" t="s">
        <v>287</v>
      </c>
      <c r="D25" s="98">
        <v>1599</v>
      </c>
      <c r="E25" s="43" t="s">
        <v>287</v>
      </c>
      <c r="F25" s="99">
        <f>D25</f>
        <v>1599</v>
      </c>
    </row>
    <row r="26" spans="1:7" s="93" customFormat="1" ht="12.75">
      <c r="A26" s="59">
        <v>20000000</v>
      </c>
      <c r="B26" s="100" t="s">
        <v>22</v>
      </c>
      <c r="C26" s="101">
        <f>C27+C30+C32</f>
        <v>6600</v>
      </c>
      <c r="D26" s="101">
        <f>D27+D32+D38</f>
        <v>82918.3</v>
      </c>
      <c r="E26" s="101" t="s">
        <v>287</v>
      </c>
      <c r="F26" s="102">
        <f>C26+D26</f>
        <v>89518.3</v>
      </c>
      <c r="G26" s="107"/>
    </row>
    <row r="27" spans="1:7" ht="25.5">
      <c r="A27" s="60">
        <v>21000000</v>
      </c>
      <c r="B27" s="42" t="s">
        <v>23</v>
      </c>
      <c r="C27" s="43">
        <f>C28</f>
        <v>500</v>
      </c>
      <c r="D27" s="43">
        <f>D29</f>
        <v>2908.4</v>
      </c>
      <c r="E27" s="43" t="s">
        <v>287</v>
      </c>
      <c r="F27" s="99">
        <f>C27+D27</f>
        <v>3408.4</v>
      </c>
      <c r="G27" s="45"/>
    </row>
    <row r="28" spans="1:6" ht="26.25" customHeight="1">
      <c r="A28" s="60">
        <v>21040000</v>
      </c>
      <c r="B28" s="42" t="s">
        <v>99</v>
      </c>
      <c r="C28" s="43">
        <v>500</v>
      </c>
      <c r="D28" s="43" t="s">
        <v>287</v>
      </c>
      <c r="E28" s="43" t="s">
        <v>287</v>
      </c>
      <c r="F28" s="99">
        <f>C28</f>
        <v>500</v>
      </c>
    </row>
    <row r="29" spans="1:6" ht="25.5">
      <c r="A29" s="60">
        <v>21110000</v>
      </c>
      <c r="B29" s="42" t="s">
        <v>24</v>
      </c>
      <c r="C29" s="43" t="s">
        <v>287</v>
      </c>
      <c r="D29" s="43">
        <v>2908.4</v>
      </c>
      <c r="E29" s="43" t="s">
        <v>287</v>
      </c>
      <c r="F29" s="99">
        <f>D29</f>
        <v>2908.4</v>
      </c>
    </row>
    <row r="30" spans="1:8" ht="25.5">
      <c r="A30" s="60">
        <v>22000000</v>
      </c>
      <c r="B30" s="42" t="s">
        <v>25</v>
      </c>
      <c r="C30" s="43">
        <f>C31</f>
        <v>5000</v>
      </c>
      <c r="D30" s="43" t="s">
        <v>287</v>
      </c>
      <c r="E30" s="43" t="s">
        <v>287</v>
      </c>
      <c r="F30" s="99">
        <f>C30</f>
        <v>5000</v>
      </c>
      <c r="G30" s="45"/>
      <c r="H30" s="45"/>
    </row>
    <row r="31" spans="1:6" ht="24.75" customHeight="1">
      <c r="A31" s="60">
        <v>22080000</v>
      </c>
      <c r="B31" s="103" t="s">
        <v>100</v>
      </c>
      <c r="C31" s="98">
        <v>5000</v>
      </c>
      <c r="D31" s="43" t="s">
        <v>287</v>
      </c>
      <c r="E31" s="43" t="s">
        <v>287</v>
      </c>
      <c r="F31" s="99">
        <f>C31</f>
        <v>5000</v>
      </c>
    </row>
    <row r="32" spans="1:7" ht="12" customHeight="1">
      <c r="A32" s="60">
        <v>24000000</v>
      </c>
      <c r="B32" s="42" t="s">
        <v>26</v>
      </c>
      <c r="C32" s="98">
        <f>C35</f>
        <v>1100</v>
      </c>
      <c r="D32" s="43">
        <f>D37+D36</f>
        <v>953.2</v>
      </c>
      <c r="E32" s="43" t="s">
        <v>287</v>
      </c>
      <c r="F32" s="99">
        <f>C32+D32</f>
        <v>2053.2</v>
      </c>
      <c r="G32" s="45"/>
    </row>
    <row r="33" spans="1:6" ht="0.75" customHeight="1" hidden="1">
      <c r="A33" s="60"/>
      <c r="B33" s="42"/>
      <c r="C33" s="43">
        <v>0</v>
      </c>
      <c r="D33" s="43" t="s">
        <v>287</v>
      </c>
      <c r="E33" s="43" t="s">
        <v>287</v>
      </c>
      <c r="F33" s="99">
        <v>0</v>
      </c>
    </row>
    <row r="34" spans="1:6" ht="0.75" customHeight="1" hidden="1">
      <c r="A34" s="60">
        <v>24030000</v>
      </c>
      <c r="B34" s="42" t="s">
        <v>35</v>
      </c>
      <c r="C34" s="104" t="s">
        <v>287</v>
      </c>
      <c r="D34" s="104" t="s">
        <v>287</v>
      </c>
      <c r="E34" s="104" t="s">
        <v>287</v>
      </c>
      <c r="F34" s="105" t="s">
        <v>287</v>
      </c>
    </row>
    <row r="35" spans="1:6" ht="12.75">
      <c r="A35" s="60">
        <v>24060300</v>
      </c>
      <c r="B35" s="42" t="s">
        <v>27</v>
      </c>
      <c r="C35" s="43">
        <v>1100</v>
      </c>
      <c r="D35" s="43" t="s">
        <v>287</v>
      </c>
      <c r="E35" s="43" t="s">
        <v>287</v>
      </c>
      <c r="F35" s="99">
        <f>C35</f>
        <v>1100</v>
      </c>
    </row>
    <row r="36" spans="1:6" ht="38.25">
      <c r="A36" s="60" t="s">
        <v>308</v>
      </c>
      <c r="B36" s="42" t="s">
        <v>358</v>
      </c>
      <c r="C36" s="43" t="s">
        <v>309</v>
      </c>
      <c r="D36" s="43">
        <v>755.4</v>
      </c>
      <c r="E36" s="43" t="s">
        <v>309</v>
      </c>
      <c r="F36" s="99">
        <f>D36</f>
        <v>755.4</v>
      </c>
    </row>
    <row r="37" spans="1:6" ht="24" customHeight="1">
      <c r="A37" s="60" t="s">
        <v>101</v>
      </c>
      <c r="B37" s="103" t="s">
        <v>102</v>
      </c>
      <c r="C37" s="43" t="s">
        <v>287</v>
      </c>
      <c r="D37" s="43">
        <v>197.8</v>
      </c>
      <c r="E37" s="98" t="s">
        <v>287</v>
      </c>
      <c r="F37" s="99">
        <f>D37</f>
        <v>197.8</v>
      </c>
    </row>
    <row r="38" spans="1:7" ht="12.75">
      <c r="A38" s="60">
        <v>25000000</v>
      </c>
      <c r="B38" s="42" t="s">
        <v>28</v>
      </c>
      <c r="C38" s="43" t="s">
        <v>287</v>
      </c>
      <c r="D38" s="43">
        <v>79056.7</v>
      </c>
      <c r="E38" s="43" t="s">
        <v>287</v>
      </c>
      <c r="F38" s="99">
        <f>D38</f>
        <v>79056.7</v>
      </c>
      <c r="G38" s="45"/>
    </row>
    <row r="39" spans="1:7" s="93" customFormat="1" ht="38.25">
      <c r="A39" s="60">
        <v>31030000</v>
      </c>
      <c r="B39" s="42" t="s">
        <v>29</v>
      </c>
      <c r="C39" s="43" t="s">
        <v>287</v>
      </c>
      <c r="D39" s="98">
        <v>21946.7</v>
      </c>
      <c r="E39" s="98">
        <v>21946.7</v>
      </c>
      <c r="F39" s="99">
        <f>D39</f>
        <v>21946.7</v>
      </c>
      <c r="G39" s="107"/>
    </row>
    <row r="40" spans="1:7" ht="12.75">
      <c r="A40" s="60">
        <v>50080000</v>
      </c>
      <c r="B40" s="42" t="s">
        <v>30</v>
      </c>
      <c r="C40" s="43" t="s">
        <v>287</v>
      </c>
      <c r="D40" s="98">
        <v>150564</v>
      </c>
      <c r="E40" s="43" t="s">
        <v>287</v>
      </c>
      <c r="F40" s="99">
        <f>D40</f>
        <v>150564</v>
      </c>
      <c r="G40" s="45"/>
    </row>
    <row r="41" spans="1:8" s="93" customFormat="1" ht="12.75">
      <c r="A41" s="338" t="s">
        <v>31</v>
      </c>
      <c r="B41" s="339"/>
      <c r="C41" s="106">
        <f>C10+C26</f>
        <v>1641950.8</v>
      </c>
      <c r="D41" s="106">
        <f>D10+D26+D39+D40</f>
        <v>299528</v>
      </c>
      <c r="E41" s="101">
        <f>E39</f>
        <v>21946.7</v>
      </c>
      <c r="F41" s="102">
        <f>C41+D41</f>
        <v>1941478.8</v>
      </c>
      <c r="H41" s="107"/>
    </row>
    <row r="42" spans="1:6" s="93" customFormat="1" ht="12.75">
      <c r="A42" s="59"/>
      <c r="B42" s="100"/>
      <c r="C42" s="106"/>
      <c r="D42" s="106"/>
      <c r="E42" s="101"/>
      <c r="F42" s="102"/>
    </row>
    <row r="43" spans="1:6" ht="12.75">
      <c r="A43" s="59">
        <v>40000000</v>
      </c>
      <c r="B43" s="100" t="s">
        <v>32</v>
      </c>
      <c r="C43" s="101">
        <f>C44+C45+C46</f>
        <v>3180889.8</v>
      </c>
      <c r="D43" s="101">
        <f>D46+D57</f>
        <v>522333.89999999997</v>
      </c>
      <c r="E43" s="101">
        <f>E46+E57</f>
        <v>77639.3</v>
      </c>
      <c r="F43" s="102">
        <f>C43+D43</f>
        <v>3703223.6999999997</v>
      </c>
    </row>
    <row r="44" spans="1:6" ht="12.75">
      <c r="A44" s="60" t="s">
        <v>1</v>
      </c>
      <c r="B44" s="42" t="s">
        <v>80</v>
      </c>
      <c r="C44" s="43">
        <v>490266.4</v>
      </c>
      <c r="D44" s="43" t="s">
        <v>287</v>
      </c>
      <c r="E44" s="43" t="s">
        <v>287</v>
      </c>
      <c r="F44" s="99">
        <f>C44</f>
        <v>490266.4</v>
      </c>
    </row>
    <row r="45" spans="1:8" ht="26.25" customHeight="1">
      <c r="A45" s="60" t="s">
        <v>252</v>
      </c>
      <c r="B45" s="42" t="s">
        <v>77</v>
      </c>
      <c r="C45" s="43">
        <v>61927.5</v>
      </c>
      <c r="D45" s="43" t="s">
        <v>287</v>
      </c>
      <c r="E45" s="43" t="s">
        <v>287</v>
      </c>
      <c r="F45" s="99">
        <f>C45</f>
        <v>61927.5</v>
      </c>
      <c r="H45" s="45"/>
    </row>
    <row r="46" spans="1:8" ht="14.25" customHeight="1">
      <c r="A46" s="59">
        <v>41030000</v>
      </c>
      <c r="B46" s="100" t="s">
        <v>33</v>
      </c>
      <c r="C46" s="101">
        <f>C48+C49+C50+C51+C52+C54+C55+C56+C47</f>
        <v>2628695.9</v>
      </c>
      <c r="D46" s="101">
        <f>D48+D49+D50+D51+D54+D53+D52+D55</f>
        <v>444694.6</v>
      </c>
      <c r="E46" s="101">
        <f>E48+E49+E50+E51+E54+E53+E52+E55</f>
        <v>0</v>
      </c>
      <c r="F46" s="102">
        <f aca="true" t="shared" si="0" ref="F46:F52">C46+D46</f>
        <v>3073390.5</v>
      </c>
      <c r="G46" s="45"/>
      <c r="H46" s="45"/>
    </row>
    <row r="47" spans="1:8" ht="39.75" customHeight="1">
      <c r="A47" s="60" t="s">
        <v>344</v>
      </c>
      <c r="B47" s="42" t="s">
        <v>357</v>
      </c>
      <c r="C47" s="43">
        <f>3310.3+2755</f>
        <v>6065.3</v>
      </c>
      <c r="D47" s="101"/>
      <c r="E47" s="101"/>
      <c r="F47" s="99">
        <f t="shared" si="0"/>
        <v>6065.3</v>
      </c>
      <c r="G47" s="45"/>
      <c r="H47" s="45"/>
    </row>
    <row r="48" spans="1:7" ht="52.5" customHeight="1">
      <c r="A48" s="60" t="s">
        <v>103</v>
      </c>
      <c r="B48" s="64" t="s">
        <v>2</v>
      </c>
      <c r="C48" s="43">
        <v>2017876.8</v>
      </c>
      <c r="D48" s="43"/>
      <c r="E48" s="43"/>
      <c r="F48" s="99">
        <f t="shared" si="0"/>
        <v>2017876.8</v>
      </c>
      <c r="G48" s="160"/>
    </row>
    <row r="49" spans="1:10" ht="67.5" customHeight="1">
      <c r="A49" s="110" t="s">
        <v>104</v>
      </c>
      <c r="B49" s="137" t="s">
        <v>81</v>
      </c>
      <c r="C49" s="131">
        <v>282034.7</v>
      </c>
      <c r="D49" s="43">
        <v>435642.5</v>
      </c>
      <c r="E49" s="43"/>
      <c r="F49" s="99">
        <f t="shared" si="0"/>
        <v>717677.2</v>
      </c>
      <c r="J49" s="143"/>
    </row>
    <row r="50" spans="1:6" ht="120" customHeight="1">
      <c r="A50" s="60" t="s">
        <v>105</v>
      </c>
      <c r="B50" s="61" t="s">
        <v>395</v>
      </c>
      <c r="C50" s="43">
        <v>179074.7</v>
      </c>
      <c r="D50" s="43"/>
      <c r="E50" s="43"/>
      <c r="F50" s="99">
        <f t="shared" si="0"/>
        <v>179074.7</v>
      </c>
    </row>
    <row r="51" spans="1:6" ht="51">
      <c r="A51" s="110" t="s">
        <v>106</v>
      </c>
      <c r="B51" s="137" t="s">
        <v>82</v>
      </c>
      <c r="C51" s="131">
        <v>124139.9</v>
      </c>
      <c r="D51" s="43"/>
      <c r="E51" s="43"/>
      <c r="F51" s="99">
        <f t="shared" si="0"/>
        <v>124139.9</v>
      </c>
    </row>
    <row r="52" spans="1:6" ht="57.75" customHeight="1">
      <c r="A52" s="139" t="s">
        <v>406</v>
      </c>
      <c r="B52" s="142" t="s">
        <v>310</v>
      </c>
      <c r="C52" s="140">
        <v>8010</v>
      </c>
      <c r="D52" s="140"/>
      <c r="E52" s="140"/>
      <c r="F52" s="141">
        <f t="shared" si="0"/>
        <v>8010</v>
      </c>
    </row>
    <row r="53" spans="1:8" ht="120" customHeight="1">
      <c r="A53" s="139" t="s">
        <v>83</v>
      </c>
      <c r="B53" s="154" t="s">
        <v>256</v>
      </c>
      <c r="C53" s="140" t="s">
        <v>287</v>
      </c>
      <c r="D53" s="140">
        <v>9052.1</v>
      </c>
      <c r="E53" s="140"/>
      <c r="F53" s="141">
        <f>D53</f>
        <v>9052.1</v>
      </c>
      <c r="G53" s="144"/>
      <c r="H53" s="144"/>
    </row>
    <row r="54" spans="1:8" ht="81" customHeight="1">
      <c r="A54" s="139" t="s">
        <v>257</v>
      </c>
      <c r="B54" s="61" t="s">
        <v>258</v>
      </c>
      <c r="C54" s="140">
        <v>9365.7</v>
      </c>
      <c r="D54" s="140"/>
      <c r="E54" s="140"/>
      <c r="F54" s="141">
        <f>C54+D54</f>
        <v>9365.7</v>
      </c>
      <c r="G54" s="45"/>
      <c r="H54" s="45"/>
    </row>
    <row r="55" spans="1:8" ht="57.75" customHeight="1">
      <c r="A55" s="139" t="s">
        <v>69</v>
      </c>
      <c r="B55" s="61" t="s">
        <v>70</v>
      </c>
      <c r="C55" s="140">
        <v>1625</v>
      </c>
      <c r="D55" s="140"/>
      <c r="E55" s="140"/>
      <c r="F55" s="141">
        <f>C55+D55</f>
        <v>1625</v>
      </c>
      <c r="G55" s="45"/>
      <c r="H55" s="45"/>
    </row>
    <row r="56" spans="1:8" ht="51" customHeight="1">
      <c r="A56" s="139" t="s">
        <v>320</v>
      </c>
      <c r="B56" s="61" t="s">
        <v>321</v>
      </c>
      <c r="C56" s="140">
        <v>503.8</v>
      </c>
      <c r="D56" s="140"/>
      <c r="E56" s="140"/>
      <c r="F56" s="141">
        <f>C56+D56</f>
        <v>503.8</v>
      </c>
      <c r="G56" s="45"/>
      <c r="H56" s="45"/>
    </row>
    <row r="57" spans="1:8" ht="21.75" customHeight="1" thickBot="1">
      <c r="A57" s="172" t="s">
        <v>6</v>
      </c>
      <c r="B57" s="173" t="s">
        <v>303</v>
      </c>
      <c r="C57" s="175"/>
      <c r="D57" s="174">
        <f>E57</f>
        <v>77639.3</v>
      </c>
      <c r="E57" s="174">
        <f>75454.7+3912.3-11727.7+10000</f>
        <v>77639.3</v>
      </c>
      <c r="F57" s="225">
        <f>D57</f>
        <v>77639.3</v>
      </c>
      <c r="G57" s="144"/>
      <c r="H57" s="144"/>
    </row>
    <row r="58" spans="1:11" s="93" customFormat="1" ht="13.5" thickBot="1">
      <c r="A58" s="340" t="s">
        <v>34</v>
      </c>
      <c r="B58" s="341"/>
      <c r="C58" s="175">
        <f>C41+C43</f>
        <v>4822840.6</v>
      </c>
      <c r="D58" s="145">
        <f>D41+D43</f>
        <v>821861.8999999999</v>
      </c>
      <c r="E58" s="145">
        <f>E43+E41</f>
        <v>99586</v>
      </c>
      <c r="F58" s="146">
        <f>C58+D58</f>
        <v>5644702.5</v>
      </c>
      <c r="H58" s="107"/>
      <c r="K58" s="161"/>
    </row>
    <row r="59" spans="2:10" ht="12.75">
      <c r="B59" s="147"/>
      <c r="C59" s="148">
        <f>C58-'№2'!C92</f>
        <v>-91962.9000000013</v>
      </c>
      <c r="D59" s="148">
        <f>D58-'№2'!G92</f>
        <v>-38200.40000000014</v>
      </c>
      <c r="E59" s="149">
        <f>E58-'№2'!H92</f>
        <v>0</v>
      </c>
      <c r="F59" s="148">
        <f>F58-'№2'!J92</f>
        <v>-130163.29999999981</v>
      </c>
      <c r="G59" s="149"/>
      <c r="H59" s="149"/>
      <c r="J59" s="45"/>
    </row>
    <row r="60" spans="2:10" ht="12.75">
      <c r="B60" s="147"/>
      <c r="C60" s="148"/>
      <c r="D60" s="148"/>
      <c r="E60" s="148">
        <f>E58-E57</f>
        <v>21946.699999999997</v>
      </c>
      <c r="F60" s="148"/>
      <c r="G60" s="149"/>
      <c r="H60" s="150"/>
      <c r="J60" s="45"/>
    </row>
    <row r="61" spans="2:10" ht="12.75">
      <c r="B61" s="147"/>
      <c r="C61" s="148"/>
      <c r="D61" s="148"/>
      <c r="E61" s="148"/>
      <c r="F61" s="148"/>
      <c r="G61" s="149"/>
      <c r="H61" s="150"/>
      <c r="J61" s="45"/>
    </row>
    <row r="62" spans="2:10" ht="12.75">
      <c r="B62" s="147"/>
      <c r="C62" s="148"/>
      <c r="D62" s="148"/>
      <c r="E62" s="148"/>
      <c r="F62" s="148"/>
      <c r="G62" s="149"/>
      <c r="H62" s="150"/>
      <c r="J62" s="45"/>
    </row>
    <row r="63" spans="2:8" ht="12.75">
      <c r="B63" s="147"/>
      <c r="C63" s="151"/>
      <c r="D63" s="151">
        <f>E57-D57</f>
        <v>0</v>
      </c>
      <c r="E63" s="151"/>
      <c r="F63" s="151"/>
      <c r="G63" s="149"/>
      <c r="H63" s="150"/>
    </row>
    <row r="64" spans="2:8" ht="12.75">
      <c r="B64" s="147"/>
      <c r="C64" s="151"/>
      <c r="D64" s="151"/>
      <c r="E64" s="151"/>
      <c r="F64" s="151"/>
      <c r="G64" s="149"/>
      <c r="H64" s="150"/>
    </row>
    <row r="65" spans="2:8" ht="12.75">
      <c r="B65" s="147"/>
      <c r="C65" s="151"/>
      <c r="D65" s="151"/>
      <c r="E65" s="151"/>
      <c r="F65" s="151"/>
      <c r="G65" s="149"/>
      <c r="H65" s="150"/>
    </row>
    <row r="66" spans="2:8" ht="12.75">
      <c r="B66" s="147"/>
      <c r="C66" s="151"/>
      <c r="D66" s="151"/>
      <c r="E66" s="151"/>
      <c r="F66" s="151"/>
      <c r="G66" s="150"/>
      <c r="H66" s="150"/>
    </row>
    <row r="67" spans="2:8" ht="12.75">
      <c r="B67" s="152"/>
      <c r="C67" s="151"/>
      <c r="D67" s="151"/>
      <c r="E67" s="151"/>
      <c r="F67" s="151"/>
      <c r="G67" s="150"/>
      <c r="H67" s="150"/>
    </row>
    <row r="68" spans="2:8" ht="12">
      <c r="B68" s="152"/>
      <c r="C68" s="150"/>
      <c r="D68" s="150"/>
      <c r="E68" s="150"/>
      <c r="F68" s="150"/>
      <c r="G68" s="150"/>
      <c r="H68" s="150"/>
    </row>
    <row r="69" spans="2:8" ht="12">
      <c r="B69" s="153"/>
      <c r="C69" s="149"/>
      <c r="D69" s="150"/>
      <c r="E69" s="150"/>
      <c r="F69" s="149"/>
      <c r="G69" s="150"/>
      <c r="H69" s="150"/>
    </row>
    <row r="70" spans="2:8" ht="12">
      <c r="B70" s="152"/>
      <c r="C70" s="150"/>
      <c r="D70" s="150"/>
      <c r="E70" s="150"/>
      <c r="F70" s="150"/>
      <c r="G70" s="150"/>
      <c r="H70" s="150"/>
    </row>
    <row r="71" spans="2:8" ht="12">
      <c r="B71" s="152"/>
      <c r="C71" s="149"/>
      <c r="D71" s="150"/>
      <c r="E71" s="150"/>
      <c r="F71" s="150"/>
      <c r="G71" s="150"/>
      <c r="H71" s="162"/>
    </row>
    <row r="72" spans="2:8" ht="12">
      <c r="B72" s="152"/>
      <c r="C72" s="150"/>
      <c r="D72" s="150"/>
      <c r="E72" s="150"/>
      <c r="F72" s="150"/>
      <c r="G72" s="150"/>
      <c r="H72" s="162"/>
    </row>
    <row r="73" spans="2:8" ht="12">
      <c r="B73" s="152"/>
      <c r="C73" s="150"/>
      <c r="D73" s="150"/>
      <c r="E73" s="150"/>
      <c r="F73" s="150"/>
      <c r="G73" s="150"/>
      <c r="H73" s="162"/>
    </row>
    <row r="74" spans="2:8" ht="12">
      <c r="B74" s="152"/>
      <c r="C74" s="150"/>
      <c r="D74" s="150"/>
      <c r="E74" s="150"/>
      <c r="F74" s="150"/>
      <c r="G74" s="150"/>
      <c r="H74" s="162"/>
    </row>
    <row r="75" spans="2:8" ht="12">
      <c r="B75" s="152"/>
      <c r="C75" s="150"/>
      <c r="D75" s="150"/>
      <c r="E75" s="150"/>
      <c r="F75" s="150"/>
      <c r="G75" s="150"/>
      <c r="H75" s="150"/>
    </row>
    <row r="76" spans="2:8" ht="12">
      <c r="B76" s="152"/>
      <c r="C76" s="150"/>
      <c r="D76" s="150"/>
      <c r="E76" s="150"/>
      <c r="F76" s="150"/>
      <c r="G76" s="150"/>
      <c r="H76" s="150"/>
    </row>
    <row r="77" ht="12">
      <c r="D77" s="45"/>
    </row>
  </sheetData>
  <mergeCells count="11">
    <mergeCell ref="D1:F1"/>
    <mergeCell ref="D2:F2"/>
    <mergeCell ref="D3:F3"/>
    <mergeCell ref="A4:F4"/>
    <mergeCell ref="D7:E7"/>
    <mergeCell ref="F7:F8"/>
    <mergeCell ref="A41:B41"/>
    <mergeCell ref="A58:B58"/>
    <mergeCell ref="A7:A8"/>
    <mergeCell ref="B7:B8"/>
    <mergeCell ref="C7:C8"/>
  </mergeCells>
  <printOptions/>
  <pageMargins left="0.984251968503937" right="0.5905511811023623" top="0.66" bottom="0.41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80"/>
  <sheetViews>
    <sheetView view="pageBreakPreview" zoomScale="90" zoomScaleSheetLayoutView="90" workbookViewId="0" topLeftCell="A7">
      <pane xSplit="2" ySplit="6" topLeftCell="C91" activePane="bottomRight" state="frozen"/>
      <selection pane="topLeft" activeCell="A7" sqref="A7"/>
      <selection pane="topRight" activeCell="C7" sqref="C7"/>
      <selection pane="bottomLeft" activeCell="A13" sqref="A13"/>
      <selection pane="bottomRight" activeCell="L41" sqref="L41"/>
    </sheetView>
  </sheetViews>
  <sheetFormatPr defaultColWidth="9.00390625" defaultRowHeight="12.75"/>
  <cols>
    <col min="1" max="1" width="7.375" style="52" customWidth="1"/>
    <col min="2" max="2" width="47.625" style="2" customWidth="1"/>
    <col min="3" max="3" width="10.625" style="3" customWidth="1"/>
    <col min="4" max="4" width="10.00390625" style="3" customWidth="1"/>
    <col min="5" max="5" width="9.375" style="3" customWidth="1"/>
    <col min="6" max="6" width="10.375" style="3" customWidth="1"/>
    <col min="7" max="7" width="10.00390625" style="3" customWidth="1"/>
    <col min="8" max="8" width="10.25390625" style="3" customWidth="1"/>
    <col min="9" max="9" width="9.875" style="3" hidden="1" customWidth="1"/>
    <col min="10" max="10" width="12.125" style="3" customWidth="1"/>
    <col min="11" max="11" width="10.625" style="3" customWidth="1"/>
    <col min="12" max="12" width="13.875" style="3" customWidth="1"/>
    <col min="13" max="13" width="14.00390625" style="3" customWidth="1"/>
    <col min="14" max="14" width="15.875" style="3" customWidth="1"/>
    <col min="15" max="16384" width="8.875" style="3" customWidth="1"/>
  </cols>
  <sheetData>
    <row r="1" spans="6:9" ht="15" customHeight="1">
      <c r="F1" s="348" t="s">
        <v>185</v>
      </c>
      <c r="G1" s="348"/>
      <c r="H1" s="348"/>
      <c r="I1" s="4"/>
    </row>
    <row r="2" spans="6:9" ht="13.5" customHeight="1">
      <c r="F2" s="348" t="s">
        <v>186</v>
      </c>
      <c r="G2" s="348"/>
      <c r="H2" s="348"/>
      <c r="I2" s="5"/>
    </row>
    <row r="3" spans="6:9" ht="13.5" customHeight="1">
      <c r="F3" s="348"/>
      <c r="G3" s="348"/>
      <c r="H3" s="348"/>
      <c r="I3" s="171"/>
    </row>
    <row r="5" spans="2:7" ht="13.5" customHeight="1">
      <c r="B5" s="1"/>
      <c r="C5" s="6"/>
      <c r="D5" s="6"/>
      <c r="E5" s="6"/>
      <c r="F5" s="6"/>
      <c r="G5" s="6"/>
    </row>
    <row r="6" spans="1:10" ht="15.75">
      <c r="A6" s="352" t="s">
        <v>304</v>
      </c>
      <c r="B6" s="352"/>
      <c r="C6" s="352"/>
      <c r="D6" s="352"/>
      <c r="E6" s="352"/>
      <c r="F6" s="352"/>
      <c r="G6" s="352"/>
      <c r="H6" s="352"/>
      <c r="I6" s="352"/>
      <c r="J6" s="352"/>
    </row>
    <row r="7" spans="1:11" ht="15" customHeight="1">
      <c r="A7" s="352" t="s">
        <v>187</v>
      </c>
      <c r="B7" s="352"/>
      <c r="C7" s="352"/>
      <c r="D7" s="352"/>
      <c r="E7" s="352"/>
      <c r="F7" s="352"/>
      <c r="G7" s="352"/>
      <c r="H7" s="352"/>
      <c r="I7" s="352"/>
      <c r="J7" s="352"/>
      <c r="K7" s="7"/>
    </row>
    <row r="8" spans="6:11" ht="13.5" thickBot="1">
      <c r="F8" s="8"/>
      <c r="H8" s="9"/>
      <c r="I8" s="10"/>
      <c r="J8" s="3" t="s">
        <v>37</v>
      </c>
      <c r="K8" s="7"/>
    </row>
    <row r="9" spans="1:11" ht="25.5" customHeight="1" thickBot="1">
      <c r="A9" s="353" t="s">
        <v>188</v>
      </c>
      <c r="B9" s="356" t="s">
        <v>189</v>
      </c>
      <c r="C9" s="358" t="s">
        <v>190</v>
      </c>
      <c r="D9" s="329"/>
      <c r="E9" s="329"/>
      <c r="F9" s="329"/>
      <c r="G9" s="330" t="s">
        <v>191</v>
      </c>
      <c r="H9" s="331"/>
      <c r="I9" s="332"/>
      <c r="J9" s="333" t="s">
        <v>192</v>
      </c>
      <c r="K9" s="11"/>
    </row>
    <row r="10" spans="1:11" ht="24" customHeight="1" thickBot="1">
      <c r="A10" s="354"/>
      <c r="B10" s="357"/>
      <c r="C10" s="324" t="s">
        <v>193</v>
      </c>
      <c r="D10" s="324" t="s">
        <v>194</v>
      </c>
      <c r="E10" s="326"/>
      <c r="F10" s="326"/>
      <c r="G10" s="325" t="s">
        <v>193</v>
      </c>
      <c r="H10" s="12" t="s">
        <v>195</v>
      </c>
      <c r="I10" s="359" t="s">
        <v>196</v>
      </c>
      <c r="J10" s="327"/>
      <c r="K10" s="11"/>
    </row>
    <row r="11" spans="1:17" ht="110.25" customHeight="1" thickBot="1">
      <c r="A11" s="355"/>
      <c r="B11" s="357"/>
      <c r="C11" s="325"/>
      <c r="D11" s="159" t="s">
        <v>197</v>
      </c>
      <c r="E11" s="13" t="s">
        <v>198</v>
      </c>
      <c r="F11" s="13" t="s">
        <v>199</v>
      </c>
      <c r="G11" s="325"/>
      <c r="H11" s="13" t="s">
        <v>200</v>
      </c>
      <c r="I11" s="360"/>
      <c r="J11" s="328"/>
      <c r="K11" s="11"/>
      <c r="L11" s="7"/>
      <c r="Q11" s="3" t="s">
        <v>238</v>
      </c>
    </row>
    <row r="12" spans="1:12" ht="14.25" customHeight="1" thickBot="1">
      <c r="A12" s="53">
        <v>1</v>
      </c>
      <c r="B12" s="14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10</v>
      </c>
      <c r="J12" s="293">
        <v>9</v>
      </c>
      <c r="K12" s="7"/>
      <c r="L12" s="7"/>
    </row>
    <row r="13" spans="1:12" s="16" customFormat="1" ht="15.75" customHeight="1">
      <c r="A13" s="114" t="s">
        <v>201</v>
      </c>
      <c r="B13" s="115" t="s">
        <v>202</v>
      </c>
      <c r="C13" s="72">
        <f aca="true" t="shared" si="0" ref="C13:I13">C14</f>
        <v>21045</v>
      </c>
      <c r="D13" s="72">
        <f>D14</f>
        <v>5148</v>
      </c>
      <c r="E13" s="72">
        <f t="shared" si="0"/>
        <v>4732.9</v>
      </c>
      <c r="F13" s="72">
        <f t="shared" si="0"/>
        <v>11164.1</v>
      </c>
      <c r="G13" s="72">
        <f t="shared" si="0"/>
        <v>150</v>
      </c>
      <c r="H13" s="125">
        <f t="shared" si="0"/>
        <v>0</v>
      </c>
      <c r="I13" s="125">
        <f t="shared" si="0"/>
        <v>0</v>
      </c>
      <c r="J13" s="72">
        <f>C13+G13</f>
        <v>21195</v>
      </c>
      <c r="K13" s="290"/>
      <c r="L13" s="24"/>
    </row>
    <row r="14" spans="1:12" ht="12.75">
      <c r="A14" s="112" t="s">
        <v>203</v>
      </c>
      <c r="B14" s="113" t="s">
        <v>204</v>
      </c>
      <c r="C14" s="108">
        <f>D14+E14+F14</f>
        <v>21045</v>
      </c>
      <c r="D14" s="108">
        <v>5148</v>
      </c>
      <c r="E14" s="108">
        <v>4732.9</v>
      </c>
      <c r="F14" s="108">
        <v>11164.1</v>
      </c>
      <c r="G14" s="108">
        <v>150</v>
      </c>
      <c r="H14" s="126"/>
      <c r="I14" s="126"/>
      <c r="J14" s="108">
        <f>C14+G14</f>
        <v>21195</v>
      </c>
      <c r="K14" s="7"/>
      <c r="L14" s="24"/>
    </row>
    <row r="15" spans="1:12" s="18" customFormat="1" ht="13.5" customHeight="1">
      <c r="A15" s="54" t="s">
        <v>208</v>
      </c>
      <c r="B15" s="57" t="s">
        <v>209</v>
      </c>
      <c r="C15" s="58">
        <f>D15+E15+F15</f>
        <v>568654.2</v>
      </c>
      <c r="D15" s="58">
        <v>196720.4</v>
      </c>
      <c r="E15" s="58">
        <v>56196.9</v>
      </c>
      <c r="F15" s="58">
        <f>F16+315435.2+202.7</f>
        <v>315736.9</v>
      </c>
      <c r="G15" s="58">
        <v>10560.1</v>
      </c>
      <c r="H15" s="58"/>
      <c r="I15" s="58"/>
      <c r="J15" s="58">
        <f>C15+G15</f>
        <v>579214.2999999999</v>
      </c>
      <c r="K15" s="19"/>
      <c r="L15" s="24"/>
    </row>
    <row r="16" spans="1:58" ht="14.25" customHeight="1">
      <c r="A16" s="55" t="s">
        <v>183</v>
      </c>
      <c r="B16" s="20" t="s">
        <v>182</v>
      </c>
      <c r="C16" s="26">
        <f>F16</f>
        <v>99</v>
      </c>
      <c r="D16" s="21"/>
      <c r="E16" s="21"/>
      <c r="F16" s="21">
        <f>103.5-4.5</f>
        <v>99</v>
      </c>
      <c r="G16" s="21"/>
      <c r="H16" s="21"/>
      <c r="I16" s="21"/>
      <c r="J16" s="21">
        <f>C16</f>
        <v>99</v>
      </c>
      <c r="K16" s="75"/>
      <c r="L16" s="24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12" s="18" customFormat="1" ht="16.5" customHeight="1">
      <c r="A17" s="54" t="s">
        <v>210</v>
      </c>
      <c r="B17" s="57" t="s">
        <v>211</v>
      </c>
      <c r="C17" s="58">
        <f>D17+E17+F17</f>
        <v>1072562.5</v>
      </c>
      <c r="D17" s="58">
        <v>443796.3</v>
      </c>
      <c r="E17" s="58">
        <v>94998.3</v>
      </c>
      <c r="F17" s="58">
        <f>532767.9+3000-2000</f>
        <v>533767.9</v>
      </c>
      <c r="G17" s="58">
        <v>30057.9</v>
      </c>
      <c r="H17" s="127">
        <f>10000-10000</f>
        <v>0</v>
      </c>
      <c r="I17" s="127"/>
      <c r="J17" s="58">
        <f>C17+G17</f>
        <v>1102620.4</v>
      </c>
      <c r="K17" s="24"/>
      <c r="L17" s="24"/>
    </row>
    <row r="18" spans="1:12" s="18" customFormat="1" ht="13.5" customHeight="1">
      <c r="A18" s="54"/>
      <c r="B18" s="129" t="s">
        <v>110</v>
      </c>
      <c r="C18" s="163"/>
      <c r="D18" s="58"/>
      <c r="E18" s="58"/>
      <c r="F18" s="58"/>
      <c r="G18" s="58"/>
      <c r="H18" s="127"/>
      <c r="I18" s="127"/>
      <c r="J18" s="58"/>
      <c r="K18" s="24"/>
      <c r="L18" s="24"/>
    </row>
    <row r="19" spans="1:12" s="18" customFormat="1" ht="30.75" customHeight="1">
      <c r="A19" s="55" t="s">
        <v>253</v>
      </c>
      <c r="B19" s="36" t="s">
        <v>254</v>
      </c>
      <c r="C19" s="26">
        <f aca="true" t="shared" si="1" ref="C19:C26">D19+E19+F19</f>
        <v>38398</v>
      </c>
      <c r="D19" s="21"/>
      <c r="E19" s="21"/>
      <c r="F19" s="21">
        <v>38398</v>
      </c>
      <c r="G19" s="21"/>
      <c r="H19" s="21"/>
      <c r="I19" s="21"/>
      <c r="J19" s="21">
        <f aca="true" t="shared" si="2" ref="J19:J53">C19+G19</f>
        <v>38398</v>
      </c>
      <c r="K19" s="24"/>
      <c r="L19" s="24"/>
    </row>
    <row r="20" spans="1:12" s="18" customFormat="1" ht="17.25" customHeight="1">
      <c r="A20" s="54" t="s">
        <v>213</v>
      </c>
      <c r="B20" s="57" t="s">
        <v>214</v>
      </c>
      <c r="C20" s="41">
        <f>D20+E20+F20</f>
        <v>230343.1</v>
      </c>
      <c r="D20" s="41">
        <f>D23+D24+D25+D26+D27+D28+D29+D30+D31+D32+D33+D34+D35+D36+D22</f>
        <v>74753.50000000001</v>
      </c>
      <c r="E20" s="41">
        <f>E23+E24+E25+E26+E27+E28+E29+E30+E31+E32+E33+E34+E35+E36+E22</f>
        <v>28156.2</v>
      </c>
      <c r="F20" s="41">
        <f>F23+F24+F25+F26+F27+F28+F29+F30+F31+F32+F33+F34+F35+F36+F22+F21</f>
        <v>127433.4</v>
      </c>
      <c r="G20" s="41">
        <f>G23+G24+G25+G26+G27+G28+G29+G30+G31+G32+G33+G34+G35+G36</f>
        <v>36543.5</v>
      </c>
      <c r="H20" s="41">
        <f>H23+H24+H25+H26+H27+H28+H29+H30+H31+H32+H33+H34+H35+H36</f>
        <v>0</v>
      </c>
      <c r="I20" s="58" t="e">
        <f>I23+#REF!+I24+I25+#REF!+#REF!+#REF!+I27+I28+I29+I30+I31+I32+I34+I33+#REF!+#REF!+#REF!+#REF!+#REF!+#REF!+I26+#REF!+#REF!+#REF!+#REF!</f>
        <v>#REF!</v>
      </c>
      <c r="J20" s="41">
        <f t="shared" si="2"/>
        <v>266886.6</v>
      </c>
      <c r="K20" s="291"/>
      <c r="L20" s="24"/>
    </row>
    <row r="21" spans="1:12" s="18" customFormat="1" ht="51.75" customHeight="1">
      <c r="A21" s="55" t="s">
        <v>407</v>
      </c>
      <c r="B21" s="142" t="s">
        <v>345</v>
      </c>
      <c r="C21" s="26">
        <f t="shared" si="1"/>
        <v>8010</v>
      </c>
      <c r="D21" s="41"/>
      <c r="E21" s="41"/>
      <c r="F21" s="26">
        <v>8010</v>
      </c>
      <c r="G21" s="41"/>
      <c r="H21" s="41"/>
      <c r="I21" s="58"/>
      <c r="J21" s="41"/>
      <c r="K21" s="291"/>
      <c r="L21" s="24"/>
    </row>
    <row r="22" spans="1:12" s="18" customFormat="1" ht="27.75" customHeight="1">
      <c r="A22" s="55" t="s">
        <v>74</v>
      </c>
      <c r="B22" s="138" t="s">
        <v>75</v>
      </c>
      <c r="C22" s="26">
        <f t="shared" si="1"/>
        <v>1344.4</v>
      </c>
      <c r="D22" s="58"/>
      <c r="E22" s="58"/>
      <c r="F22" s="26">
        <v>1344.4</v>
      </c>
      <c r="G22" s="58"/>
      <c r="H22" s="58"/>
      <c r="I22" s="58"/>
      <c r="J22" s="26">
        <f t="shared" si="2"/>
        <v>1344.4</v>
      </c>
      <c r="K22" s="291"/>
      <c r="L22" s="24"/>
    </row>
    <row r="23" spans="1:12" ht="15.75" customHeight="1">
      <c r="A23" s="55" t="s">
        <v>215</v>
      </c>
      <c r="B23" s="17" t="s">
        <v>216</v>
      </c>
      <c r="C23" s="26">
        <f t="shared" si="1"/>
        <v>0.6</v>
      </c>
      <c r="D23" s="26"/>
      <c r="E23" s="26"/>
      <c r="F23" s="26">
        <v>0.6</v>
      </c>
      <c r="G23" s="26"/>
      <c r="H23" s="26"/>
      <c r="I23" s="26"/>
      <c r="J23" s="26">
        <f t="shared" si="2"/>
        <v>0.6</v>
      </c>
      <c r="K23" s="7"/>
      <c r="L23" s="24"/>
    </row>
    <row r="24" spans="1:12" ht="110.25" customHeight="1">
      <c r="A24" s="55" t="s">
        <v>94</v>
      </c>
      <c r="B24" s="20" t="s">
        <v>93</v>
      </c>
      <c r="C24" s="26">
        <f t="shared" si="1"/>
        <v>192503.3</v>
      </c>
      <c r="D24" s="26">
        <v>72400.3</v>
      </c>
      <c r="E24" s="26">
        <v>27485.7</v>
      </c>
      <c r="F24" s="26">
        <f>36+92581.3</f>
        <v>92617.3</v>
      </c>
      <c r="G24" s="26">
        <v>36543.5</v>
      </c>
      <c r="H24" s="26"/>
      <c r="I24" s="26"/>
      <c r="J24" s="26">
        <f t="shared" si="2"/>
        <v>229046.8</v>
      </c>
      <c r="K24" s="7"/>
      <c r="L24" s="24"/>
    </row>
    <row r="25" spans="1:12" ht="27" customHeight="1">
      <c r="A25" s="55" t="s">
        <v>219</v>
      </c>
      <c r="B25" s="17" t="s">
        <v>220</v>
      </c>
      <c r="C25" s="26">
        <f t="shared" si="1"/>
        <v>179.4</v>
      </c>
      <c r="D25" s="26"/>
      <c r="E25" s="26"/>
      <c r="F25" s="26">
        <v>179.4</v>
      </c>
      <c r="G25" s="26"/>
      <c r="H25" s="26"/>
      <c r="I25" s="26"/>
      <c r="J25" s="26">
        <f t="shared" si="2"/>
        <v>179.4</v>
      </c>
      <c r="K25" s="7"/>
      <c r="L25" s="24"/>
    </row>
    <row r="26" spans="1:12" ht="14.25" customHeight="1">
      <c r="A26" s="55" t="s">
        <v>91</v>
      </c>
      <c r="B26" s="17" t="s">
        <v>107</v>
      </c>
      <c r="C26" s="26">
        <f t="shared" si="1"/>
        <v>1273.1</v>
      </c>
      <c r="D26" s="26"/>
      <c r="E26" s="26"/>
      <c r="F26" s="26">
        <v>1273.1</v>
      </c>
      <c r="G26" s="26"/>
      <c r="H26" s="26"/>
      <c r="I26" s="26"/>
      <c r="J26" s="26">
        <f t="shared" si="2"/>
        <v>1273.1</v>
      </c>
      <c r="K26" s="7"/>
      <c r="L26" s="24"/>
    </row>
    <row r="27" spans="1:12" ht="13.5" customHeight="1">
      <c r="A27" s="55" t="s">
        <v>38</v>
      </c>
      <c r="B27" s="17" t="s">
        <v>39</v>
      </c>
      <c r="C27" s="26">
        <f aca="true" t="shared" si="3" ref="C27:C39">D27+E27+F27</f>
        <v>1199.2</v>
      </c>
      <c r="D27" s="26">
        <v>705</v>
      </c>
      <c r="E27" s="26">
        <v>47.6</v>
      </c>
      <c r="F27" s="26">
        <v>446.6</v>
      </c>
      <c r="G27" s="26"/>
      <c r="H27" s="26"/>
      <c r="I27" s="26"/>
      <c r="J27" s="26">
        <f t="shared" si="2"/>
        <v>1199.2</v>
      </c>
      <c r="K27" s="7"/>
      <c r="L27" s="24"/>
    </row>
    <row r="28" spans="1:12" ht="25.5">
      <c r="A28" s="55" t="s">
        <v>40</v>
      </c>
      <c r="B28" s="17" t="s">
        <v>41</v>
      </c>
      <c r="C28" s="26">
        <f t="shared" si="3"/>
        <v>203.8</v>
      </c>
      <c r="D28" s="26"/>
      <c r="E28" s="26"/>
      <c r="F28" s="26">
        <v>203.8</v>
      </c>
      <c r="G28" s="26"/>
      <c r="H28" s="26"/>
      <c r="I28" s="26"/>
      <c r="J28" s="26">
        <f t="shared" si="2"/>
        <v>203.8</v>
      </c>
      <c r="K28" s="7"/>
      <c r="L28" s="24"/>
    </row>
    <row r="29" spans="1:12" ht="25.5">
      <c r="A29" s="55" t="s">
        <v>42</v>
      </c>
      <c r="B29" s="17" t="s">
        <v>84</v>
      </c>
      <c r="C29" s="26">
        <f t="shared" si="3"/>
        <v>1222.4</v>
      </c>
      <c r="D29" s="26"/>
      <c r="E29" s="26"/>
      <c r="F29" s="26">
        <v>1222.4</v>
      </c>
      <c r="G29" s="26"/>
      <c r="H29" s="26"/>
      <c r="I29" s="26"/>
      <c r="J29" s="26">
        <f t="shared" si="2"/>
        <v>1222.4</v>
      </c>
      <c r="K29" s="7"/>
      <c r="L29" s="24"/>
    </row>
    <row r="30" spans="1:12" ht="25.5">
      <c r="A30" s="55" t="s">
        <v>43</v>
      </c>
      <c r="B30" s="17" t="s">
        <v>44</v>
      </c>
      <c r="C30" s="26">
        <f t="shared" si="3"/>
        <v>149.3</v>
      </c>
      <c r="D30" s="26"/>
      <c r="E30" s="26"/>
      <c r="F30" s="26">
        <v>149.3</v>
      </c>
      <c r="G30" s="26"/>
      <c r="H30" s="26"/>
      <c r="I30" s="26"/>
      <c r="J30" s="26">
        <f t="shared" si="2"/>
        <v>149.3</v>
      </c>
      <c r="K30" s="7"/>
      <c r="L30" s="24"/>
    </row>
    <row r="31" spans="1:12" ht="12.75">
      <c r="A31" s="55" t="s">
        <v>45</v>
      </c>
      <c r="B31" s="17" t="s">
        <v>46</v>
      </c>
      <c r="C31" s="26">
        <f t="shared" si="3"/>
        <v>1235.6</v>
      </c>
      <c r="D31" s="26">
        <v>458.1</v>
      </c>
      <c r="E31" s="26">
        <v>63</v>
      </c>
      <c r="F31" s="26">
        <v>714.5</v>
      </c>
      <c r="G31" s="26"/>
      <c r="H31" s="26"/>
      <c r="I31" s="26"/>
      <c r="J31" s="26">
        <f t="shared" si="2"/>
        <v>1235.6</v>
      </c>
      <c r="K31" s="7"/>
      <c r="L31" s="24"/>
    </row>
    <row r="32" spans="1:12" ht="12.75">
      <c r="A32" s="55" t="s">
        <v>47</v>
      </c>
      <c r="B32" s="17" t="s">
        <v>48</v>
      </c>
      <c r="C32" s="26">
        <f t="shared" si="3"/>
        <v>3301.9</v>
      </c>
      <c r="D32" s="26">
        <v>1190.1</v>
      </c>
      <c r="E32" s="26">
        <v>559.9</v>
      </c>
      <c r="F32" s="26">
        <v>1551.9</v>
      </c>
      <c r="G32" s="26"/>
      <c r="H32" s="26"/>
      <c r="I32" s="26"/>
      <c r="J32" s="26">
        <f t="shared" si="2"/>
        <v>3301.9</v>
      </c>
      <c r="K32" s="7"/>
      <c r="L32" s="24"/>
    </row>
    <row r="33" spans="1:12" ht="25.5">
      <c r="A33" s="55" t="s">
        <v>49</v>
      </c>
      <c r="B33" s="17" t="s">
        <v>50</v>
      </c>
      <c r="C33" s="26">
        <f t="shared" si="3"/>
        <v>225.4</v>
      </c>
      <c r="D33" s="26"/>
      <c r="E33" s="26"/>
      <c r="F33" s="26">
        <v>225.4</v>
      </c>
      <c r="G33" s="26"/>
      <c r="H33" s="26"/>
      <c r="I33" s="26"/>
      <c r="J33" s="26">
        <f t="shared" si="2"/>
        <v>225.4</v>
      </c>
      <c r="K33" s="7"/>
      <c r="L33" s="24"/>
    </row>
    <row r="34" spans="1:12" ht="50.25" customHeight="1">
      <c r="A34" s="55" t="s">
        <v>72</v>
      </c>
      <c r="B34" s="20" t="s">
        <v>73</v>
      </c>
      <c r="C34" s="26">
        <f t="shared" si="3"/>
        <v>17530</v>
      </c>
      <c r="D34" s="26"/>
      <c r="E34" s="26"/>
      <c r="F34" s="26">
        <v>17530</v>
      </c>
      <c r="G34" s="26"/>
      <c r="H34" s="26"/>
      <c r="I34" s="26"/>
      <c r="J34" s="26">
        <f t="shared" si="2"/>
        <v>17530</v>
      </c>
      <c r="K34" s="7"/>
      <c r="L34" s="24"/>
    </row>
    <row r="35" spans="1:12" ht="38.25">
      <c r="A35" s="55" t="s">
        <v>259</v>
      </c>
      <c r="B35" s="20" t="s">
        <v>261</v>
      </c>
      <c r="C35" s="26">
        <f t="shared" si="3"/>
        <v>900</v>
      </c>
      <c r="D35" s="26"/>
      <c r="E35" s="26"/>
      <c r="F35" s="26">
        <v>900</v>
      </c>
      <c r="G35" s="26"/>
      <c r="H35" s="26"/>
      <c r="I35" s="26"/>
      <c r="J35" s="26">
        <f t="shared" si="2"/>
        <v>900</v>
      </c>
      <c r="K35" s="7"/>
      <c r="L35" s="24"/>
    </row>
    <row r="36" spans="1:12" ht="12.75">
      <c r="A36" s="55" t="s">
        <v>262</v>
      </c>
      <c r="B36" s="20" t="s">
        <v>260</v>
      </c>
      <c r="C36" s="26">
        <f t="shared" si="3"/>
        <v>1064.7</v>
      </c>
      <c r="D36" s="26"/>
      <c r="E36" s="26"/>
      <c r="F36" s="26">
        <v>1064.7</v>
      </c>
      <c r="G36" s="26"/>
      <c r="H36" s="26"/>
      <c r="I36" s="26"/>
      <c r="J36" s="26">
        <f t="shared" si="2"/>
        <v>1064.7</v>
      </c>
      <c r="K36" s="7"/>
      <c r="L36" s="24"/>
    </row>
    <row r="37" spans="1:15" s="18" customFormat="1" ht="12.75">
      <c r="A37" s="54"/>
      <c r="B37" s="22" t="s">
        <v>221</v>
      </c>
      <c r="C37" s="41">
        <f>D37+E37+F37</f>
        <v>15847.8</v>
      </c>
      <c r="D37" s="41"/>
      <c r="E37" s="41"/>
      <c r="F37" s="41">
        <f>F40+F38+F39</f>
        <v>15847.8</v>
      </c>
      <c r="G37" s="41">
        <f>G40</f>
        <v>0</v>
      </c>
      <c r="H37" s="41">
        <f>H40</f>
        <v>0</v>
      </c>
      <c r="I37" s="41"/>
      <c r="J37" s="41">
        <f t="shared" si="2"/>
        <v>15847.8</v>
      </c>
      <c r="K37" s="19"/>
      <c r="L37" s="24"/>
      <c r="O37" s="164"/>
    </row>
    <row r="38" spans="1:15" s="18" customFormat="1" ht="12.75">
      <c r="A38" s="55" t="s">
        <v>323</v>
      </c>
      <c r="B38" s="17" t="s">
        <v>325</v>
      </c>
      <c r="C38" s="26">
        <f t="shared" si="3"/>
        <v>200</v>
      </c>
      <c r="D38" s="41"/>
      <c r="E38" s="41"/>
      <c r="F38" s="26">
        <v>200</v>
      </c>
      <c r="G38" s="41"/>
      <c r="H38" s="41"/>
      <c r="I38" s="41"/>
      <c r="J38" s="26">
        <f t="shared" si="2"/>
        <v>200</v>
      </c>
      <c r="K38" s="19"/>
      <c r="L38" s="24"/>
      <c r="O38" s="164"/>
    </row>
    <row r="39" spans="1:15" s="18" customFormat="1" ht="12.75">
      <c r="A39" s="55" t="s">
        <v>324</v>
      </c>
      <c r="B39" s="17" t="s">
        <v>326</v>
      </c>
      <c r="C39" s="26">
        <f t="shared" si="3"/>
        <v>10000</v>
      </c>
      <c r="D39" s="41"/>
      <c r="E39" s="41"/>
      <c r="F39" s="26">
        <v>10000</v>
      </c>
      <c r="G39" s="41"/>
      <c r="H39" s="41"/>
      <c r="I39" s="41"/>
      <c r="J39" s="26">
        <f t="shared" si="2"/>
        <v>10000</v>
      </c>
      <c r="K39" s="19"/>
      <c r="L39" s="24"/>
      <c r="O39" s="164"/>
    </row>
    <row r="40" spans="1:12" s="18" customFormat="1" ht="13.5" customHeight="1">
      <c r="A40" s="55" t="s">
        <v>296</v>
      </c>
      <c r="B40" s="17" t="s">
        <v>297</v>
      </c>
      <c r="C40" s="26">
        <f>F40</f>
        <v>5647.8</v>
      </c>
      <c r="D40" s="26"/>
      <c r="E40" s="26"/>
      <c r="F40" s="21">
        <v>5647.8</v>
      </c>
      <c r="G40" s="41">
        <f>H40</f>
        <v>0</v>
      </c>
      <c r="H40" s="26"/>
      <c r="I40" s="41"/>
      <c r="J40" s="26">
        <f t="shared" si="2"/>
        <v>5647.8</v>
      </c>
      <c r="K40" s="19"/>
      <c r="L40" s="24"/>
    </row>
    <row r="41" spans="1:12" s="18" customFormat="1" ht="15" customHeight="1">
      <c r="A41" s="59">
        <v>110000</v>
      </c>
      <c r="B41" s="22" t="s">
        <v>51</v>
      </c>
      <c r="C41" s="41">
        <f>D41+E41+F41</f>
        <v>122779.5</v>
      </c>
      <c r="D41" s="41">
        <v>12387.2</v>
      </c>
      <c r="E41" s="41">
        <v>2490.7</v>
      </c>
      <c r="F41" s="41">
        <f>107611.6+290</f>
        <v>107901.6</v>
      </c>
      <c r="G41" s="41">
        <v>1716</v>
      </c>
      <c r="H41" s="41">
        <f>H42+H43+H45</f>
        <v>0</v>
      </c>
      <c r="I41" s="41"/>
      <c r="J41" s="41">
        <f t="shared" si="2"/>
        <v>124495.5</v>
      </c>
      <c r="K41" s="19"/>
      <c r="L41" s="24"/>
    </row>
    <row r="42" spans="1:12" ht="15" customHeight="1">
      <c r="A42" s="60" t="s">
        <v>52</v>
      </c>
      <c r="B42" s="17" t="s">
        <v>53</v>
      </c>
      <c r="C42" s="26">
        <f>D42+E42+F42</f>
        <v>66280.4</v>
      </c>
      <c r="D42" s="26"/>
      <c r="E42" s="26"/>
      <c r="F42" s="26">
        <v>66280.4</v>
      </c>
      <c r="G42" s="26"/>
      <c r="H42" s="26"/>
      <c r="I42" s="26"/>
      <c r="J42" s="26">
        <f t="shared" si="2"/>
        <v>66280.4</v>
      </c>
      <c r="K42" s="7"/>
      <c r="L42" s="24"/>
    </row>
    <row r="43" spans="1:12" ht="25.5">
      <c r="A43" s="60" t="s">
        <v>54</v>
      </c>
      <c r="B43" s="17" t="s">
        <v>55</v>
      </c>
      <c r="C43" s="26">
        <f>D43+E43+F43</f>
        <v>28163.100000000002</v>
      </c>
      <c r="D43" s="26">
        <v>141.4</v>
      </c>
      <c r="E43" s="26">
        <v>12</v>
      </c>
      <c r="F43" s="26">
        <v>28009.7</v>
      </c>
      <c r="G43" s="26"/>
      <c r="H43" s="26"/>
      <c r="I43" s="26"/>
      <c r="J43" s="26">
        <f t="shared" si="2"/>
        <v>28163.100000000002</v>
      </c>
      <c r="K43" s="7"/>
      <c r="L43" s="24"/>
    </row>
    <row r="44" spans="1:12" ht="12.75">
      <c r="A44" s="60" t="s">
        <v>264</v>
      </c>
      <c r="B44" s="17" t="s">
        <v>265</v>
      </c>
      <c r="C44" s="26"/>
      <c r="D44" s="26"/>
      <c r="E44" s="26"/>
      <c r="F44" s="26"/>
      <c r="G44" s="26">
        <v>197.8</v>
      </c>
      <c r="H44" s="26"/>
      <c r="I44" s="26"/>
      <c r="J44" s="26">
        <f t="shared" si="2"/>
        <v>197.8</v>
      </c>
      <c r="K44" s="7"/>
      <c r="L44" s="24"/>
    </row>
    <row r="45" spans="1:12" ht="12.75">
      <c r="A45" s="60">
        <v>110300</v>
      </c>
      <c r="B45" s="17" t="s">
        <v>222</v>
      </c>
      <c r="C45" s="26">
        <f aca="true" t="shared" si="4" ref="C45:C58">D45+E45+F45</f>
        <v>1423.4</v>
      </c>
      <c r="D45" s="26"/>
      <c r="E45" s="26"/>
      <c r="F45" s="26">
        <v>1423.4</v>
      </c>
      <c r="G45" s="26"/>
      <c r="H45" s="26"/>
      <c r="I45" s="26"/>
      <c r="J45" s="26">
        <f t="shared" si="2"/>
        <v>1423.4</v>
      </c>
      <c r="K45" s="7"/>
      <c r="L45" s="24"/>
    </row>
    <row r="46" spans="1:12" ht="25.5">
      <c r="A46" s="60" t="s">
        <v>85</v>
      </c>
      <c r="B46" s="17" t="s">
        <v>276</v>
      </c>
      <c r="C46" s="26">
        <f t="shared" si="4"/>
        <v>290</v>
      </c>
      <c r="D46" s="26"/>
      <c r="E46" s="26"/>
      <c r="F46" s="26">
        <v>290</v>
      </c>
      <c r="G46" s="26"/>
      <c r="H46" s="26"/>
      <c r="I46" s="26"/>
      <c r="J46" s="26">
        <f t="shared" si="2"/>
        <v>290</v>
      </c>
      <c r="K46" s="7"/>
      <c r="L46" s="24"/>
    </row>
    <row r="47" spans="1:12" s="18" customFormat="1" ht="12" customHeight="1">
      <c r="A47" s="59">
        <v>120000</v>
      </c>
      <c r="B47" s="51" t="s">
        <v>223</v>
      </c>
      <c r="C47" s="41">
        <f t="shared" si="4"/>
        <v>7164.9</v>
      </c>
      <c r="D47" s="117">
        <f>D50</f>
        <v>0</v>
      </c>
      <c r="E47" s="117">
        <f>E50</f>
        <v>0</v>
      </c>
      <c r="F47" s="41">
        <f>F50+F48+F49</f>
        <v>7164.9</v>
      </c>
      <c r="G47" s="41"/>
      <c r="H47" s="41"/>
      <c r="I47" s="41"/>
      <c r="J47" s="41">
        <f t="shared" si="2"/>
        <v>7164.9</v>
      </c>
      <c r="K47" s="19"/>
      <c r="L47" s="24"/>
    </row>
    <row r="48" spans="1:12" s="18" customFormat="1" ht="12" customHeight="1">
      <c r="A48" s="60" t="s">
        <v>301</v>
      </c>
      <c r="B48" s="231" t="s">
        <v>302</v>
      </c>
      <c r="C48" s="26">
        <f t="shared" si="4"/>
        <v>1047.5</v>
      </c>
      <c r="D48" s="124"/>
      <c r="E48" s="124"/>
      <c r="F48" s="26">
        <v>1047.5</v>
      </c>
      <c r="G48" s="26"/>
      <c r="H48" s="26"/>
      <c r="I48" s="26"/>
      <c r="J48" s="26">
        <f t="shared" si="2"/>
        <v>1047.5</v>
      </c>
      <c r="K48" s="19"/>
      <c r="L48" s="24"/>
    </row>
    <row r="49" spans="1:12" s="18" customFormat="1" ht="12" customHeight="1">
      <c r="A49" s="60" t="s">
        <v>327</v>
      </c>
      <c r="B49" s="231" t="s">
        <v>328</v>
      </c>
      <c r="C49" s="26">
        <f t="shared" si="4"/>
        <v>4840.5</v>
      </c>
      <c r="D49" s="124"/>
      <c r="E49" s="124"/>
      <c r="F49" s="26">
        <f>4848-2762.5+2755</f>
        <v>4840.5</v>
      </c>
      <c r="G49" s="26"/>
      <c r="H49" s="26"/>
      <c r="I49" s="26"/>
      <c r="J49" s="26">
        <f t="shared" si="2"/>
        <v>4840.5</v>
      </c>
      <c r="K49" s="19"/>
      <c r="L49" s="24"/>
    </row>
    <row r="50" spans="1:12" ht="15" customHeight="1">
      <c r="A50" s="60">
        <v>120300</v>
      </c>
      <c r="B50" s="17" t="s">
        <v>224</v>
      </c>
      <c r="C50" s="26">
        <f t="shared" si="4"/>
        <v>1276.9</v>
      </c>
      <c r="D50" s="26"/>
      <c r="E50" s="26"/>
      <c r="F50" s="26">
        <v>1276.9</v>
      </c>
      <c r="G50" s="26"/>
      <c r="H50" s="26"/>
      <c r="I50" s="26"/>
      <c r="J50" s="26">
        <f t="shared" si="2"/>
        <v>1276.9</v>
      </c>
      <c r="K50" s="7"/>
      <c r="L50" s="24"/>
    </row>
    <row r="51" spans="1:12" s="18" customFormat="1" ht="15" customHeight="1">
      <c r="A51" s="59">
        <v>130000</v>
      </c>
      <c r="B51" s="22" t="s">
        <v>225</v>
      </c>
      <c r="C51" s="41">
        <f t="shared" si="4"/>
        <v>47654.9</v>
      </c>
      <c r="D51" s="41">
        <v>10551.6</v>
      </c>
      <c r="E51" s="41">
        <v>493.3</v>
      </c>
      <c r="F51" s="41">
        <f>35919.9+F52+F53</f>
        <v>36610</v>
      </c>
      <c r="G51" s="41">
        <v>29.2</v>
      </c>
      <c r="H51" s="41"/>
      <c r="I51" s="41"/>
      <c r="J51" s="26">
        <f t="shared" si="2"/>
        <v>47684.1</v>
      </c>
      <c r="K51" s="19"/>
      <c r="L51" s="24"/>
    </row>
    <row r="52" spans="1:12" s="18" customFormat="1" ht="48.75" customHeight="1">
      <c r="A52" s="60" t="s">
        <v>403</v>
      </c>
      <c r="B52" s="17" t="s">
        <v>404</v>
      </c>
      <c r="C52" s="26">
        <f t="shared" si="4"/>
        <v>662.5</v>
      </c>
      <c r="D52" s="41"/>
      <c r="E52" s="41"/>
      <c r="F52" s="26">
        <v>662.5</v>
      </c>
      <c r="G52" s="41"/>
      <c r="H52" s="41"/>
      <c r="I52" s="41"/>
      <c r="J52" s="26">
        <f t="shared" si="2"/>
        <v>662.5</v>
      </c>
      <c r="K52" s="19"/>
      <c r="L52" s="24"/>
    </row>
    <row r="53" spans="1:12" s="18" customFormat="1" ht="12.75" customHeight="1">
      <c r="A53" s="60" t="s">
        <v>408</v>
      </c>
      <c r="B53" s="17" t="s">
        <v>248</v>
      </c>
      <c r="C53" s="26">
        <f t="shared" si="4"/>
        <v>27.6</v>
      </c>
      <c r="D53" s="41"/>
      <c r="E53" s="41"/>
      <c r="F53" s="26">
        <v>27.6</v>
      </c>
      <c r="G53" s="41"/>
      <c r="H53" s="41"/>
      <c r="I53" s="41"/>
      <c r="J53" s="26">
        <f t="shared" si="2"/>
        <v>27.6</v>
      </c>
      <c r="K53" s="19"/>
      <c r="L53" s="24"/>
    </row>
    <row r="54" spans="1:15" s="18" customFormat="1" ht="15" customHeight="1">
      <c r="A54" s="59">
        <v>150000</v>
      </c>
      <c r="B54" s="22" t="s">
        <v>226</v>
      </c>
      <c r="C54" s="41">
        <f t="shared" si="4"/>
        <v>2000</v>
      </c>
      <c r="D54" s="41"/>
      <c r="E54" s="41"/>
      <c r="F54" s="41">
        <f>F56+F55</f>
        <v>2000</v>
      </c>
      <c r="G54" s="41">
        <f>G55+G56</f>
        <v>98367</v>
      </c>
      <c r="H54" s="41">
        <f>H55</f>
        <v>98367</v>
      </c>
      <c r="I54" s="41" t="e">
        <f>#REF!+#REF!+#REF!+#REF!+#REF!+#REF!+#REF!+3800+6400-5400-1954.7</f>
        <v>#REF!</v>
      </c>
      <c r="J54" s="41">
        <f>G54+C54</f>
        <v>100367</v>
      </c>
      <c r="K54" s="24"/>
      <c r="L54" s="24"/>
      <c r="O54" s="164"/>
    </row>
    <row r="55" spans="1:12" s="18" customFormat="1" ht="15" customHeight="1">
      <c r="A55" s="60">
        <v>150101</v>
      </c>
      <c r="B55" s="17" t="s">
        <v>227</v>
      </c>
      <c r="C55" s="26"/>
      <c r="D55" s="41"/>
      <c r="E55" s="41"/>
      <c r="F55" s="26"/>
      <c r="G55" s="26">
        <f>H55</f>
        <v>98367</v>
      </c>
      <c r="H55" s="26">
        <f>84454.7+3912.3+10000</f>
        <v>98367</v>
      </c>
      <c r="I55" s="41"/>
      <c r="J55" s="26">
        <f>C55+G55</f>
        <v>98367</v>
      </c>
      <c r="K55" s="24"/>
      <c r="L55" s="24"/>
    </row>
    <row r="56" spans="1:12" s="18" customFormat="1" ht="27" customHeight="1">
      <c r="A56" s="60" t="s">
        <v>294</v>
      </c>
      <c r="B56" s="61" t="s">
        <v>317</v>
      </c>
      <c r="C56" s="26">
        <f t="shared" si="4"/>
        <v>2000</v>
      </c>
      <c r="D56" s="41"/>
      <c r="E56" s="41"/>
      <c r="F56" s="26">
        <v>2000</v>
      </c>
      <c r="G56" s="26"/>
      <c r="H56" s="26"/>
      <c r="I56" s="41"/>
      <c r="J56" s="26">
        <f>C56+G56</f>
        <v>2000</v>
      </c>
      <c r="K56" s="24"/>
      <c r="L56" s="24"/>
    </row>
    <row r="57" spans="1:12" s="18" customFormat="1" ht="25.5" customHeight="1">
      <c r="A57" s="59" t="s">
        <v>329</v>
      </c>
      <c r="B57" s="47" t="s">
        <v>330</v>
      </c>
      <c r="C57" s="41">
        <f t="shared" si="4"/>
        <v>710</v>
      </c>
      <c r="D57" s="41"/>
      <c r="E57" s="41"/>
      <c r="F57" s="41">
        <f>F58</f>
        <v>710</v>
      </c>
      <c r="G57" s="26"/>
      <c r="H57" s="26"/>
      <c r="I57" s="41"/>
      <c r="J57" s="41">
        <f>C57+G57</f>
        <v>710</v>
      </c>
      <c r="K57" s="24"/>
      <c r="L57" s="24"/>
    </row>
    <row r="58" spans="1:12" s="18" customFormat="1" ht="27" customHeight="1">
      <c r="A58" s="60" t="s">
        <v>331</v>
      </c>
      <c r="B58" s="61" t="s">
        <v>332</v>
      </c>
      <c r="C58" s="26">
        <f t="shared" si="4"/>
        <v>710</v>
      </c>
      <c r="D58" s="41"/>
      <c r="E58" s="41"/>
      <c r="F58" s="26">
        <v>710</v>
      </c>
      <c r="G58" s="26"/>
      <c r="H58" s="26"/>
      <c r="I58" s="41"/>
      <c r="J58" s="26">
        <f>C58+G58</f>
        <v>710</v>
      </c>
      <c r="K58" s="24"/>
      <c r="L58" s="24"/>
    </row>
    <row r="59" spans="1:12" s="18" customFormat="1" ht="25.5">
      <c r="A59" s="59">
        <v>170000</v>
      </c>
      <c r="B59" s="22" t="s">
        <v>228</v>
      </c>
      <c r="C59" s="41">
        <f>C60</f>
        <v>0</v>
      </c>
      <c r="D59" s="41"/>
      <c r="E59" s="41"/>
      <c r="F59" s="41">
        <f>F60</f>
        <v>0</v>
      </c>
      <c r="G59" s="41">
        <f>G60</f>
        <v>44099</v>
      </c>
      <c r="H59" s="41"/>
      <c r="I59" s="41" t="e">
        <f>I60+#REF!+#REF!</f>
        <v>#REF!</v>
      </c>
      <c r="J59" s="41">
        <f>G59+C59</f>
        <v>44099</v>
      </c>
      <c r="K59" s="19"/>
      <c r="L59" s="24"/>
    </row>
    <row r="60" spans="1:12" ht="38.25">
      <c r="A60" s="60">
        <v>170703</v>
      </c>
      <c r="B60" s="17" t="s">
        <v>56</v>
      </c>
      <c r="C60" s="26">
        <f>D60+E60+F60</f>
        <v>0</v>
      </c>
      <c r="D60" s="124"/>
      <c r="E60" s="124"/>
      <c r="F60" s="26"/>
      <c r="G60" s="26">
        <v>44099</v>
      </c>
      <c r="H60" s="26"/>
      <c r="I60" s="26"/>
      <c r="J60" s="26">
        <f aca="true" t="shared" si="5" ref="J60:J73">C60+G60</f>
        <v>44099</v>
      </c>
      <c r="K60" s="7"/>
      <c r="L60" s="24"/>
    </row>
    <row r="61" spans="1:12" ht="25.5">
      <c r="A61" s="59" t="s">
        <v>299</v>
      </c>
      <c r="B61" s="22" t="s">
        <v>300</v>
      </c>
      <c r="C61" s="41">
        <f>D61+E61+F61</f>
        <v>2643.9</v>
      </c>
      <c r="D61" s="124"/>
      <c r="E61" s="124"/>
      <c r="F61" s="41">
        <f>1643.9+1000</f>
        <v>2643.9</v>
      </c>
      <c r="G61" s="26"/>
      <c r="H61" s="26"/>
      <c r="I61" s="26"/>
      <c r="J61" s="41">
        <f t="shared" si="5"/>
        <v>2643.9</v>
      </c>
      <c r="K61" s="7"/>
      <c r="L61" s="24"/>
    </row>
    <row r="62" spans="1:12" ht="27.75" customHeight="1">
      <c r="A62" s="59">
        <v>180109</v>
      </c>
      <c r="B62" s="22" t="s">
        <v>230</v>
      </c>
      <c r="C62" s="41">
        <f>D62+E62+F62</f>
        <v>15634.9</v>
      </c>
      <c r="D62" s="26"/>
      <c r="E62" s="26"/>
      <c r="F62" s="41">
        <f>4000+2650+2762.5+2250+5000-1000-27.6</f>
        <v>15634.9</v>
      </c>
      <c r="G62" s="41"/>
      <c r="H62" s="41"/>
      <c r="I62" s="26"/>
      <c r="J62" s="41">
        <f t="shared" si="5"/>
        <v>15634.9</v>
      </c>
      <c r="K62" s="7"/>
      <c r="L62" s="24"/>
    </row>
    <row r="63" spans="1:12" ht="17.25" customHeight="1">
      <c r="A63" s="59" t="s">
        <v>333</v>
      </c>
      <c r="B63" s="22" t="s">
        <v>334</v>
      </c>
      <c r="C63" s="41">
        <f>D63+E63+F63</f>
        <v>1492.6</v>
      </c>
      <c r="D63" s="26"/>
      <c r="E63" s="26"/>
      <c r="F63" s="41">
        <v>1492.6</v>
      </c>
      <c r="G63" s="41"/>
      <c r="H63" s="41"/>
      <c r="I63" s="26"/>
      <c r="J63" s="41">
        <f t="shared" si="5"/>
        <v>1492.6</v>
      </c>
      <c r="K63" s="7"/>
      <c r="L63" s="24"/>
    </row>
    <row r="64" spans="1:12" ht="38.25" customHeight="1">
      <c r="A64" s="59" t="s">
        <v>393</v>
      </c>
      <c r="B64" s="17" t="s">
        <v>394</v>
      </c>
      <c r="C64" s="41"/>
      <c r="D64" s="26"/>
      <c r="E64" s="26"/>
      <c r="F64" s="41"/>
      <c r="G64" s="41">
        <v>1219</v>
      </c>
      <c r="H64" s="41">
        <v>1219</v>
      </c>
      <c r="I64" s="26"/>
      <c r="J64" s="41">
        <f t="shared" si="5"/>
        <v>1219</v>
      </c>
      <c r="K64" s="7"/>
      <c r="L64" s="24"/>
    </row>
    <row r="65" spans="1:12" s="18" customFormat="1" ht="27" customHeight="1">
      <c r="A65" s="59">
        <v>210000</v>
      </c>
      <c r="B65" s="50" t="s">
        <v>57</v>
      </c>
      <c r="C65" s="41">
        <f>D65+E65+F65</f>
        <v>3097</v>
      </c>
      <c r="D65" s="41"/>
      <c r="E65" s="41"/>
      <c r="F65" s="41">
        <f>2759.5+1000-662.5</f>
        <v>3097</v>
      </c>
      <c r="G65" s="41"/>
      <c r="H65" s="41"/>
      <c r="I65" s="41"/>
      <c r="J65" s="41">
        <f t="shared" si="5"/>
        <v>3097</v>
      </c>
      <c r="K65" s="24"/>
      <c r="L65" s="24"/>
    </row>
    <row r="66" spans="1:12" s="18" customFormat="1" ht="13.5" customHeight="1">
      <c r="A66" s="54">
        <v>240000</v>
      </c>
      <c r="B66" s="22" t="s">
        <v>231</v>
      </c>
      <c r="C66" s="41">
        <f>C67</f>
        <v>0</v>
      </c>
      <c r="D66" s="117">
        <f>D67</f>
        <v>0</v>
      </c>
      <c r="E66" s="117">
        <f>E67</f>
        <v>0</v>
      </c>
      <c r="F66" s="117">
        <f>F67</f>
        <v>0</v>
      </c>
      <c r="G66" s="41">
        <v>150319.4</v>
      </c>
      <c r="H66" s="41"/>
      <c r="I66" s="41"/>
      <c r="J66" s="41">
        <f>C66+G66</f>
        <v>150319.4</v>
      </c>
      <c r="K66" s="19"/>
      <c r="L66" s="24"/>
    </row>
    <row r="67" spans="1:12" ht="70.5" customHeight="1">
      <c r="A67" s="55" t="s">
        <v>279</v>
      </c>
      <c r="B67" s="20" t="s">
        <v>232</v>
      </c>
      <c r="C67" s="124">
        <f aca="true" t="shared" si="6" ref="C67:C72">D67+E67+F67</f>
        <v>0</v>
      </c>
      <c r="D67" s="124"/>
      <c r="E67" s="124"/>
      <c r="F67" s="124"/>
      <c r="G67" s="26">
        <v>150319.4</v>
      </c>
      <c r="H67" s="26"/>
      <c r="I67" s="26"/>
      <c r="J67" s="26">
        <f t="shared" si="5"/>
        <v>150319.4</v>
      </c>
      <c r="K67" s="7"/>
      <c r="L67" s="24"/>
    </row>
    <row r="68" spans="1:12" s="18" customFormat="1" ht="12.75">
      <c r="A68" s="59">
        <v>250000</v>
      </c>
      <c r="B68" s="62" t="s">
        <v>233</v>
      </c>
      <c r="C68" s="41">
        <f t="shared" si="6"/>
        <v>108515.4</v>
      </c>
      <c r="D68" s="58">
        <f>D69+D72+D70</f>
        <v>0</v>
      </c>
      <c r="E68" s="58">
        <f>E69+E72+E70</f>
        <v>0</v>
      </c>
      <c r="F68" s="58">
        <f>F69+F72+F70+F71</f>
        <v>108515.4</v>
      </c>
      <c r="G68" s="58">
        <f>G71+G73</f>
        <v>38398.2</v>
      </c>
      <c r="H68" s="58"/>
      <c r="I68" s="58" t="e">
        <f>I69+#REF!+I72+I70+#REF!</f>
        <v>#REF!</v>
      </c>
      <c r="J68" s="58">
        <f t="shared" si="5"/>
        <v>146913.59999999998</v>
      </c>
      <c r="K68" s="19"/>
      <c r="L68" s="24"/>
    </row>
    <row r="69" spans="1:12" ht="15.75" customHeight="1">
      <c r="A69" s="60">
        <v>250102</v>
      </c>
      <c r="B69" s="17" t="s">
        <v>234</v>
      </c>
      <c r="C69" s="26">
        <f t="shared" si="6"/>
        <v>10000</v>
      </c>
      <c r="D69" s="26"/>
      <c r="E69" s="26"/>
      <c r="F69" s="26">
        <v>10000</v>
      </c>
      <c r="G69" s="26"/>
      <c r="H69" s="26"/>
      <c r="I69" s="26"/>
      <c r="J69" s="26">
        <f t="shared" si="5"/>
        <v>10000</v>
      </c>
      <c r="K69" s="7"/>
      <c r="L69" s="24"/>
    </row>
    <row r="70" spans="1:12" ht="26.25" customHeight="1">
      <c r="A70" s="60">
        <v>250306</v>
      </c>
      <c r="B70" s="17" t="s">
        <v>239</v>
      </c>
      <c r="C70" s="26">
        <f t="shared" si="6"/>
        <v>77639.3</v>
      </c>
      <c r="D70" s="26"/>
      <c r="E70" s="26"/>
      <c r="F70" s="26">
        <f>75454.7+3912.3-11727.7+10000</f>
        <v>77639.3</v>
      </c>
      <c r="G70" s="26"/>
      <c r="H70" s="26"/>
      <c r="I70" s="26"/>
      <c r="J70" s="26">
        <f t="shared" si="5"/>
        <v>77639.3</v>
      </c>
      <c r="K70" s="7"/>
      <c r="L70" s="24"/>
    </row>
    <row r="71" spans="1:12" ht="26.25" customHeight="1">
      <c r="A71" s="60" t="s">
        <v>58</v>
      </c>
      <c r="B71" s="17" t="s">
        <v>397</v>
      </c>
      <c r="C71" s="26">
        <f t="shared" si="6"/>
        <v>20184.9</v>
      </c>
      <c r="D71" s="26"/>
      <c r="E71" s="26"/>
      <c r="F71" s="26">
        <f>299.8+4339.8+90+13951.7+1090.5+413.1</f>
        <v>20184.9</v>
      </c>
      <c r="G71" s="26">
        <f>22152.7+16245.5</f>
        <v>38398.2</v>
      </c>
      <c r="H71" s="26"/>
      <c r="I71" s="26"/>
      <c r="J71" s="26">
        <f t="shared" si="5"/>
        <v>58583.1</v>
      </c>
      <c r="K71" s="7"/>
      <c r="L71" s="24"/>
    </row>
    <row r="72" spans="1:15" ht="12.75">
      <c r="A72" s="60">
        <v>250404</v>
      </c>
      <c r="B72" s="17" t="s">
        <v>235</v>
      </c>
      <c r="C72" s="26">
        <f t="shared" si="6"/>
        <v>691.2</v>
      </c>
      <c r="D72" s="26"/>
      <c r="E72" s="26"/>
      <c r="F72" s="26">
        <v>691.2</v>
      </c>
      <c r="G72" s="26"/>
      <c r="H72" s="26"/>
      <c r="I72" s="26"/>
      <c r="J72" s="26">
        <f t="shared" si="5"/>
        <v>691.2</v>
      </c>
      <c r="K72" s="7"/>
      <c r="L72" s="24"/>
      <c r="O72" s="28"/>
    </row>
    <row r="73" spans="1:15" ht="86.25" customHeight="1">
      <c r="A73" s="60" t="s">
        <v>269</v>
      </c>
      <c r="B73" s="223" t="s">
        <v>270</v>
      </c>
      <c r="C73" s="26"/>
      <c r="D73" s="26"/>
      <c r="E73" s="26"/>
      <c r="F73" s="26"/>
      <c r="G73" s="26"/>
      <c r="H73" s="26"/>
      <c r="I73" s="26"/>
      <c r="J73" s="26">
        <f t="shared" si="5"/>
        <v>0</v>
      </c>
      <c r="K73" s="7"/>
      <c r="L73" s="24"/>
      <c r="O73" s="28"/>
    </row>
    <row r="74" spans="1:14" s="18" customFormat="1" ht="18" customHeight="1">
      <c r="A74" s="59"/>
      <c r="B74" s="22" t="s">
        <v>236</v>
      </c>
      <c r="C74" s="41">
        <f>C68+C66+C65+C62+C59+C54+C51+C47+C41+C37+C20+C17+C15+C13+C61+C63+C57</f>
        <v>2220145.7</v>
      </c>
      <c r="D74" s="41">
        <f>D68+D66+D65+D62+D59+D54+D51+D47+D41+D37+D20+D17+D15+D13+D61+D65</f>
        <v>743357</v>
      </c>
      <c r="E74" s="41">
        <f>E68+E66+E65+E62+E59+E54+E51+E47+E41+E37+E20+E17+E15+E13+E61+E65</f>
        <v>187068.3</v>
      </c>
      <c r="F74" s="41">
        <f>F68+F66+F65+F62+F59+F54+F51+F47+F41+F37+F20+F17+F15+F13+F61+F63+F57</f>
        <v>1289720.4000000001</v>
      </c>
      <c r="G74" s="41">
        <f>G13+G15+G17+G20+G37+G41+G47+G51+G54+G57+G59+G61+G62+G63+G65+G66+G68+G64</f>
        <v>411459.3</v>
      </c>
      <c r="H74" s="41">
        <f>H68+H66+H65+H62+H59+H54+H51+H47+H41+H37+H20+H17+H15+H13+H64</f>
        <v>99586</v>
      </c>
      <c r="I74" s="41" t="e">
        <f>I68+I67+#REF!+#REF!+I65+#REF!+#REF!+I62+I59+I54+I51+I47+I41+I37+I20+I17+I15+#REF!+I13+#REF!+#REF!+#REF!</f>
        <v>#REF!</v>
      </c>
      <c r="J74" s="41">
        <f>J68+J62+J59+J54+J51+J47+J41+J37+J20+J17+J15+J13+J61+J65+J66+J63+J57+J64</f>
        <v>2631604.9999999995</v>
      </c>
      <c r="K74" s="24"/>
      <c r="L74" s="24"/>
      <c r="M74" s="164">
        <f>J76+J77+J78+J79+J80+J81+J87+J88+J89+J90+J91</f>
        <v>3096815.2000000007</v>
      </c>
      <c r="N74" s="164">
        <f>M74+K74+K75</f>
        <v>3096815.2000000007</v>
      </c>
    </row>
    <row r="75" spans="1:12" s="18" customFormat="1" ht="40.5" customHeight="1">
      <c r="A75" s="60" t="s">
        <v>266</v>
      </c>
      <c r="B75" s="42" t="s">
        <v>267</v>
      </c>
      <c r="C75" s="26">
        <f aca="true" t="shared" si="7" ref="C75:C83">D75+E75+F75</f>
        <v>46445.6</v>
      </c>
      <c r="D75" s="41"/>
      <c r="E75" s="41"/>
      <c r="F75" s="26">
        <v>46445.6</v>
      </c>
      <c r="G75" s="41"/>
      <c r="H75" s="41"/>
      <c r="I75" s="41"/>
      <c r="J75" s="26">
        <f aca="true" t="shared" si="8" ref="J75:J91">C75+G75</f>
        <v>46445.6</v>
      </c>
      <c r="K75" s="24"/>
      <c r="L75" s="24"/>
    </row>
    <row r="76" spans="1:12" ht="51.75" customHeight="1">
      <c r="A76" s="60" t="s">
        <v>95</v>
      </c>
      <c r="B76" s="64" t="s">
        <v>92</v>
      </c>
      <c r="C76" s="26">
        <f t="shared" si="7"/>
        <v>18557.2</v>
      </c>
      <c r="D76" s="41"/>
      <c r="E76" s="41"/>
      <c r="F76" s="26">
        <v>18557.2</v>
      </c>
      <c r="G76" s="41"/>
      <c r="H76" s="41"/>
      <c r="I76" s="41"/>
      <c r="J76" s="26">
        <f t="shared" si="8"/>
        <v>18557.2</v>
      </c>
      <c r="K76" s="24"/>
      <c r="L76" s="24"/>
    </row>
    <row r="77" spans="1:12" ht="53.25" customHeight="1">
      <c r="A77" s="60" t="s">
        <v>4</v>
      </c>
      <c r="B77" s="64" t="s">
        <v>2</v>
      </c>
      <c r="C77" s="26">
        <f t="shared" si="7"/>
        <v>2017876.8</v>
      </c>
      <c r="D77" s="41"/>
      <c r="E77" s="41"/>
      <c r="F77" s="43">
        <v>2017876.8</v>
      </c>
      <c r="G77" s="41"/>
      <c r="H77" s="41"/>
      <c r="I77" s="41"/>
      <c r="J77" s="26">
        <f t="shared" si="8"/>
        <v>2017876.8</v>
      </c>
      <c r="K77" s="24"/>
      <c r="L77" s="24"/>
    </row>
    <row r="78" spans="1:12" ht="66" customHeight="1">
      <c r="A78" s="60" t="s">
        <v>60</v>
      </c>
      <c r="B78" s="137" t="s">
        <v>81</v>
      </c>
      <c r="C78" s="26">
        <f t="shared" si="7"/>
        <v>282034.7</v>
      </c>
      <c r="D78" s="158"/>
      <c r="E78" s="158"/>
      <c r="F78" s="131">
        <v>282034.7</v>
      </c>
      <c r="G78" s="43">
        <v>435642.5</v>
      </c>
      <c r="H78" s="158"/>
      <c r="I78" s="158"/>
      <c r="J78" s="80">
        <f t="shared" si="8"/>
        <v>717677.2</v>
      </c>
      <c r="K78" s="24"/>
      <c r="L78" s="24"/>
    </row>
    <row r="79" spans="1:12" ht="141" customHeight="1">
      <c r="A79" s="110" t="s">
        <v>61</v>
      </c>
      <c r="B79" s="157" t="s">
        <v>396</v>
      </c>
      <c r="C79" s="26">
        <f t="shared" si="7"/>
        <v>179074.7</v>
      </c>
      <c r="D79" s="41"/>
      <c r="E79" s="41"/>
      <c r="F79" s="43">
        <v>179074.7</v>
      </c>
      <c r="G79" s="41"/>
      <c r="H79" s="41"/>
      <c r="I79" s="41"/>
      <c r="J79" s="26">
        <f t="shared" si="8"/>
        <v>179074.7</v>
      </c>
      <c r="K79" s="24"/>
      <c r="L79" s="24"/>
    </row>
    <row r="80" spans="1:12" s="18" customFormat="1" ht="51.75" customHeight="1">
      <c r="A80" s="109" t="s">
        <v>62</v>
      </c>
      <c r="B80" s="61" t="s">
        <v>289</v>
      </c>
      <c r="C80" s="26">
        <f t="shared" si="7"/>
        <v>124139.9</v>
      </c>
      <c r="D80" s="108"/>
      <c r="E80" s="108"/>
      <c r="F80" s="131">
        <v>124139.9</v>
      </c>
      <c r="G80" s="108"/>
      <c r="H80" s="108"/>
      <c r="I80" s="108"/>
      <c r="J80" s="108">
        <f t="shared" si="8"/>
        <v>124139.9</v>
      </c>
      <c r="K80" s="24"/>
      <c r="L80" s="24"/>
    </row>
    <row r="81" spans="1:12" s="18" customFormat="1" ht="39.75" customHeight="1">
      <c r="A81" s="361" t="s">
        <v>59</v>
      </c>
      <c r="B81" s="61" t="s">
        <v>108</v>
      </c>
      <c r="C81" s="108">
        <f t="shared" si="7"/>
        <v>3353.8</v>
      </c>
      <c r="D81" s="26"/>
      <c r="E81" s="26"/>
      <c r="F81" s="26">
        <f>SUM(F82:F86)</f>
        <v>3353.8</v>
      </c>
      <c r="G81" s="26">
        <f>SUM(G82:G86)</f>
        <v>3908.4</v>
      </c>
      <c r="H81" s="26"/>
      <c r="I81" s="26"/>
      <c r="J81" s="108">
        <f t="shared" si="8"/>
        <v>7262.200000000001</v>
      </c>
      <c r="K81" s="24"/>
      <c r="L81" s="24"/>
    </row>
    <row r="82" spans="1:12" s="18" customFormat="1" ht="36.75" customHeight="1">
      <c r="A82" s="362"/>
      <c r="B82" s="61" t="s">
        <v>315</v>
      </c>
      <c r="C82" s="108">
        <f t="shared" si="7"/>
        <v>54.5</v>
      </c>
      <c r="D82" s="26"/>
      <c r="E82" s="26"/>
      <c r="F82" s="26">
        <v>54.5</v>
      </c>
      <c r="G82" s="26"/>
      <c r="H82" s="26"/>
      <c r="I82" s="26"/>
      <c r="J82" s="108">
        <f t="shared" si="8"/>
        <v>54.5</v>
      </c>
      <c r="K82" s="24"/>
      <c r="L82" s="24"/>
    </row>
    <row r="83" spans="1:12" s="18" customFormat="1" ht="25.5" customHeight="1">
      <c r="A83" s="362"/>
      <c r="B83" s="61" t="s">
        <v>387</v>
      </c>
      <c r="C83" s="108">
        <f t="shared" si="7"/>
        <v>3000</v>
      </c>
      <c r="D83" s="26"/>
      <c r="E83" s="26"/>
      <c r="F83" s="26">
        <f>3000</f>
        <v>3000</v>
      </c>
      <c r="G83" s="26"/>
      <c r="H83" s="26"/>
      <c r="I83" s="26"/>
      <c r="J83" s="108">
        <f t="shared" si="8"/>
        <v>3000</v>
      </c>
      <c r="K83" s="24"/>
      <c r="L83" s="24"/>
    </row>
    <row r="84" spans="1:12" s="18" customFormat="1" ht="15.75" customHeight="1">
      <c r="A84" s="362"/>
      <c r="B84" s="61" t="s">
        <v>316</v>
      </c>
      <c r="C84" s="108">
        <f>D84+E84+F84</f>
        <v>299.3</v>
      </c>
      <c r="D84" s="26"/>
      <c r="E84" s="26"/>
      <c r="F84" s="26">
        <v>299.3</v>
      </c>
      <c r="G84" s="26"/>
      <c r="H84" s="26"/>
      <c r="I84" s="26"/>
      <c r="J84" s="108">
        <f t="shared" si="8"/>
        <v>299.3</v>
      </c>
      <c r="K84" s="24"/>
      <c r="L84" s="24"/>
    </row>
    <row r="85" spans="1:12" s="18" customFormat="1" ht="15.75" customHeight="1">
      <c r="A85" s="362"/>
      <c r="B85" s="61" t="s">
        <v>288</v>
      </c>
      <c r="C85" s="108"/>
      <c r="D85" s="26"/>
      <c r="E85" s="26"/>
      <c r="F85" s="26"/>
      <c r="G85" s="26">
        <v>1000</v>
      </c>
      <c r="H85" s="26"/>
      <c r="I85" s="26"/>
      <c r="J85" s="108">
        <f t="shared" si="8"/>
        <v>1000</v>
      </c>
      <c r="K85" s="24"/>
      <c r="L85" s="24"/>
    </row>
    <row r="86" spans="1:12" s="18" customFormat="1" ht="25.5">
      <c r="A86" s="362"/>
      <c r="B86" s="61" t="s">
        <v>335</v>
      </c>
      <c r="C86" s="108"/>
      <c r="D86" s="26"/>
      <c r="E86" s="26"/>
      <c r="F86" s="26"/>
      <c r="G86" s="26">
        <v>2908.4</v>
      </c>
      <c r="H86" s="26"/>
      <c r="I86" s="26"/>
      <c r="J86" s="108">
        <f t="shared" si="8"/>
        <v>2908.4</v>
      </c>
      <c r="K86" s="24"/>
      <c r="L86" s="24"/>
    </row>
    <row r="87" spans="1:12" s="18" customFormat="1" ht="90" customHeight="1">
      <c r="A87" s="60" t="s">
        <v>268</v>
      </c>
      <c r="B87" s="61" t="s">
        <v>258</v>
      </c>
      <c r="C87" s="26">
        <f>D87+E87+F87</f>
        <v>9365.7</v>
      </c>
      <c r="D87" s="26"/>
      <c r="E87" s="26"/>
      <c r="F87" s="140">
        <v>9365.7</v>
      </c>
      <c r="G87" s="26"/>
      <c r="H87" s="26"/>
      <c r="I87" s="26"/>
      <c r="J87" s="26">
        <f t="shared" si="8"/>
        <v>9365.7</v>
      </c>
      <c r="K87" s="24"/>
      <c r="L87" s="24"/>
    </row>
    <row r="88" spans="1:12" s="18" customFormat="1" ht="12.75">
      <c r="A88" s="60" t="s">
        <v>63</v>
      </c>
      <c r="B88" s="61" t="s">
        <v>36</v>
      </c>
      <c r="C88" s="26">
        <f>D88+E88+F88</f>
        <v>11680.599999999999</v>
      </c>
      <c r="D88" s="26"/>
      <c r="E88" s="26"/>
      <c r="F88" s="140">
        <f>9678.8+1.8+2000</f>
        <v>11680.599999999999</v>
      </c>
      <c r="G88" s="26"/>
      <c r="H88" s="26"/>
      <c r="I88" s="26"/>
      <c r="J88" s="26">
        <f t="shared" si="8"/>
        <v>11680.599999999999</v>
      </c>
      <c r="K88" s="24"/>
      <c r="L88" s="24"/>
    </row>
    <row r="89" spans="1:12" s="18" customFormat="1" ht="55.5" customHeight="1">
      <c r="A89" s="60" t="s">
        <v>212</v>
      </c>
      <c r="B89" s="61" t="s">
        <v>70</v>
      </c>
      <c r="C89" s="26">
        <f>D89+E89+F89</f>
        <v>1625</v>
      </c>
      <c r="D89" s="26"/>
      <c r="E89" s="26"/>
      <c r="F89" s="140">
        <v>1625</v>
      </c>
      <c r="G89" s="26"/>
      <c r="H89" s="26"/>
      <c r="I89" s="26"/>
      <c r="J89" s="26">
        <f t="shared" si="8"/>
        <v>1625</v>
      </c>
      <c r="K89" s="24"/>
      <c r="L89" s="24"/>
    </row>
    <row r="90" spans="1:12" s="18" customFormat="1" ht="41.25" customHeight="1">
      <c r="A90" s="222" t="s">
        <v>322</v>
      </c>
      <c r="B90" s="61" t="s">
        <v>321</v>
      </c>
      <c r="C90" s="108">
        <f>D90+E90+F90</f>
        <v>503.8</v>
      </c>
      <c r="D90" s="108"/>
      <c r="E90" s="108"/>
      <c r="F90" s="108">
        <v>503.8</v>
      </c>
      <c r="G90" s="26"/>
      <c r="H90" s="108"/>
      <c r="I90" s="108"/>
      <c r="J90" s="165">
        <f t="shared" si="8"/>
        <v>503.8</v>
      </c>
      <c r="K90" s="24"/>
      <c r="L90" s="24"/>
    </row>
    <row r="91" spans="1:58" ht="106.5" customHeight="1">
      <c r="A91" s="222" t="s">
        <v>313</v>
      </c>
      <c r="B91" s="223" t="s">
        <v>290</v>
      </c>
      <c r="C91" s="108">
        <f>D91+E91+F91</f>
        <v>0</v>
      </c>
      <c r="D91" s="108"/>
      <c r="E91" s="108"/>
      <c r="F91" s="108"/>
      <c r="G91" s="140">
        <f>2628.83+6423.27</f>
        <v>9052.1</v>
      </c>
      <c r="H91" s="108"/>
      <c r="I91" s="108"/>
      <c r="J91" s="165">
        <f t="shared" si="8"/>
        <v>9052.1</v>
      </c>
      <c r="K91" s="24"/>
      <c r="L91" s="24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</row>
    <row r="92" spans="1:12" s="18" customFormat="1" ht="18.75" customHeight="1" thickBot="1">
      <c r="A92" s="350" t="s">
        <v>240</v>
      </c>
      <c r="B92" s="351"/>
      <c r="C92" s="66">
        <f>C74+C75+C76+C77+C78+C79+C80+C87+C88+C89+C91+C81+C90</f>
        <v>4914803.500000001</v>
      </c>
      <c r="D92" s="66">
        <f>D74+D75+D76+D77+D78+D79+D80+D87+D88+D89+D91+D81+D90</f>
        <v>743357</v>
      </c>
      <c r="E92" s="66">
        <f>E74+E75+E76+E77+E78+E79+E80+E87+E88+E89+E91+E81</f>
        <v>187068.3</v>
      </c>
      <c r="F92" s="66">
        <f>F74+F75+F76+F77+F78+F79+F80+F87+F88+F89+F91+F81+F90</f>
        <v>3984378.2</v>
      </c>
      <c r="G92" s="66">
        <f>G74+G75+G76+G77+G78+G79+G80+G81+G87+G88+G89+G90+G91</f>
        <v>860062.3</v>
      </c>
      <c r="H92" s="66">
        <f>H74+H75+H76+H77+H78+H79+H80+H87+H88+H89+H91</f>
        <v>99586</v>
      </c>
      <c r="I92" s="66" t="e">
        <f>I74+I75+#REF!+I76+I77+I78+I79+I80+#REF!+I87+I88+I89+I91</f>
        <v>#REF!</v>
      </c>
      <c r="J92" s="66">
        <f>J74+J75+J76+J77+J78+J79+J80+J87+J88+J89+J91+J81+J90</f>
        <v>5774865.8</v>
      </c>
      <c r="K92" s="24"/>
      <c r="L92" s="292"/>
    </row>
    <row r="93" spans="2:12" ht="12.75">
      <c r="B93" s="46" t="s">
        <v>78</v>
      </c>
      <c r="C93" s="165">
        <f>'№1'!C58</f>
        <v>4822840.6</v>
      </c>
      <c r="D93" s="165"/>
      <c r="E93" s="165"/>
      <c r="F93" s="165"/>
      <c r="G93" s="165">
        <f>'№1'!D58</f>
        <v>821861.8999999999</v>
      </c>
      <c r="H93" s="96">
        <f>'№1'!E58</f>
        <v>99586</v>
      </c>
      <c r="I93" s="165"/>
      <c r="J93" s="165">
        <f>'№1'!F58</f>
        <v>5644702.5</v>
      </c>
      <c r="K93" s="288"/>
      <c r="L93" s="289"/>
    </row>
    <row r="94" spans="2:12" ht="12.75">
      <c r="B94" s="46" t="s">
        <v>79</v>
      </c>
      <c r="C94" s="166">
        <f>C93-C92</f>
        <v>-91962.9000000013</v>
      </c>
      <c r="D94" s="166"/>
      <c r="E94" s="166"/>
      <c r="F94" s="166"/>
      <c r="G94" s="166">
        <f>G93-G92</f>
        <v>-38200.40000000014</v>
      </c>
      <c r="H94" s="166">
        <f>H93-H92</f>
        <v>0</v>
      </c>
      <c r="I94" s="166"/>
      <c r="J94" s="166">
        <f>J93-J92</f>
        <v>-130163.29999999981</v>
      </c>
      <c r="K94" s="21"/>
      <c r="L94" s="65"/>
    </row>
    <row r="95" spans="2:12" ht="12.75">
      <c r="B95" s="46"/>
      <c r="C95" s="21">
        <f>C92-'№1'!C58</f>
        <v>91962.9000000013</v>
      </c>
      <c r="D95" s="21"/>
      <c r="E95" s="21"/>
      <c r="F95" s="21"/>
      <c r="G95" s="21">
        <f>G92-'№1'!D58</f>
        <v>38200.40000000014</v>
      </c>
      <c r="H95" s="21"/>
      <c r="I95" s="21" t="e">
        <f>I92-'№1'!I58</f>
        <v>#REF!</v>
      </c>
      <c r="J95" s="21">
        <f>J92-'№1'!F58</f>
        <v>130163.29999999981</v>
      </c>
      <c r="K95" s="21"/>
      <c r="L95" s="65"/>
    </row>
    <row r="96" spans="2:8" ht="12.75">
      <c r="B96" s="46"/>
      <c r="C96" s="28"/>
      <c r="G96" s="28"/>
      <c r="H96" s="28"/>
    </row>
    <row r="97" spans="2:10" ht="12.75">
      <c r="B97" s="46"/>
      <c r="C97" s="28"/>
      <c r="D97" s="28"/>
      <c r="E97" s="28"/>
      <c r="F97" s="28"/>
      <c r="G97" s="28"/>
      <c r="H97" s="28"/>
      <c r="J97" s="28"/>
    </row>
    <row r="98" spans="2:10" ht="12.75">
      <c r="B98" s="46"/>
      <c r="C98" s="28"/>
      <c r="D98" s="28"/>
      <c r="E98" s="28"/>
      <c r="F98" s="28"/>
      <c r="G98" s="28"/>
      <c r="J98" s="28"/>
    </row>
    <row r="99" spans="2:11" ht="12.75">
      <c r="B99" s="46"/>
      <c r="C99" s="29"/>
      <c r="K99" s="28"/>
    </row>
    <row r="100" spans="2:10" ht="12.75">
      <c r="B100" s="46"/>
      <c r="C100" s="28"/>
      <c r="J100" s="28"/>
    </row>
    <row r="101" spans="2:10" ht="12.75">
      <c r="B101" s="46"/>
      <c r="C101" s="28"/>
      <c r="J101" s="28"/>
    </row>
    <row r="102" spans="2:7" ht="12.75">
      <c r="B102" s="46"/>
      <c r="G102" s="28"/>
    </row>
    <row r="103" spans="2:7" ht="12.75">
      <c r="B103" s="46"/>
      <c r="G103" s="28"/>
    </row>
    <row r="104" ht="12.75">
      <c r="B104" s="46"/>
    </row>
    <row r="105" spans="2:7" ht="12.75">
      <c r="B105" s="46"/>
      <c r="G105" s="28"/>
    </row>
    <row r="106" spans="2:7" ht="12.75">
      <c r="B106" s="46"/>
      <c r="C106" s="28"/>
      <c r="G106" s="28"/>
    </row>
    <row r="107" ht="12.75">
      <c r="B107" s="46"/>
    </row>
    <row r="108" ht="12.75">
      <c r="B108" s="46"/>
    </row>
    <row r="109" ht="12.75">
      <c r="B109" s="46"/>
    </row>
    <row r="110" ht="12.75">
      <c r="B110" s="46"/>
    </row>
    <row r="111" ht="12.75">
      <c r="B111" s="46"/>
    </row>
    <row r="112" ht="12.75">
      <c r="B112" s="46"/>
    </row>
    <row r="113" ht="12.75">
      <c r="B113" s="46"/>
    </row>
    <row r="114" ht="12.75">
      <c r="B114" s="46"/>
    </row>
    <row r="115" ht="12.75">
      <c r="B115" s="46"/>
    </row>
    <row r="116" ht="12.75">
      <c r="B116" s="46"/>
    </row>
    <row r="117" ht="12.75">
      <c r="B117" s="46"/>
    </row>
    <row r="118" ht="12.75">
      <c r="B118" s="46"/>
    </row>
    <row r="119" ht="12.75">
      <c r="B119" s="46"/>
    </row>
    <row r="120" ht="12.75">
      <c r="B120" s="46"/>
    </row>
    <row r="121" ht="12.75">
      <c r="B121" s="46"/>
    </row>
    <row r="122" ht="12.75">
      <c r="B122" s="46"/>
    </row>
    <row r="123" ht="12.75">
      <c r="B123" s="46"/>
    </row>
    <row r="124" ht="12.75">
      <c r="B124" s="46"/>
    </row>
    <row r="125" ht="12.75">
      <c r="B125" s="46"/>
    </row>
    <row r="126" ht="12.75">
      <c r="B126" s="46"/>
    </row>
    <row r="127" ht="12.75">
      <c r="B127" s="46"/>
    </row>
    <row r="128" ht="12.75">
      <c r="B128" s="46"/>
    </row>
    <row r="129" ht="12.75">
      <c r="B129" s="46"/>
    </row>
    <row r="130" ht="12.75">
      <c r="B130" s="46"/>
    </row>
    <row r="131" ht="12.75">
      <c r="B131" s="46"/>
    </row>
    <row r="132" ht="12.75">
      <c r="B132" s="46"/>
    </row>
    <row r="133" ht="12.75">
      <c r="B133" s="46"/>
    </row>
    <row r="134" ht="12.75">
      <c r="B134" s="46"/>
    </row>
    <row r="135" ht="12.75">
      <c r="B135" s="46"/>
    </row>
    <row r="136" ht="12.75">
      <c r="B136" s="46"/>
    </row>
    <row r="137" ht="12.75">
      <c r="B137" s="46"/>
    </row>
    <row r="138" ht="12.75">
      <c r="B138" s="46"/>
    </row>
    <row r="139" ht="12.75">
      <c r="B139" s="46" t="s">
        <v>108</v>
      </c>
    </row>
    <row r="140" ht="12.75">
      <c r="B140" s="46"/>
    </row>
    <row r="141" ht="12.75">
      <c r="B141" s="46"/>
    </row>
    <row r="142" ht="12.75">
      <c r="B142" s="46"/>
    </row>
    <row r="143" ht="12.75">
      <c r="B143" s="46"/>
    </row>
    <row r="144" ht="12.75">
      <c r="B144" s="46"/>
    </row>
    <row r="145" ht="12.75">
      <c r="B145" s="46"/>
    </row>
    <row r="146" ht="12.75">
      <c r="B146" s="46"/>
    </row>
    <row r="147" ht="12.75">
      <c r="B147" s="46"/>
    </row>
    <row r="148" ht="12.75">
      <c r="B148" s="46"/>
    </row>
    <row r="149" ht="12.75">
      <c r="B149" s="46"/>
    </row>
    <row r="150" ht="12.75">
      <c r="B150" s="46"/>
    </row>
    <row r="151" ht="12.75">
      <c r="B151" s="46"/>
    </row>
    <row r="152" ht="12.75">
      <c r="B152" s="46"/>
    </row>
    <row r="153" ht="12.75">
      <c r="B153" s="46"/>
    </row>
    <row r="154" ht="12.75">
      <c r="B154" s="46"/>
    </row>
    <row r="155" ht="12.75">
      <c r="B155" s="46"/>
    </row>
    <row r="156" ht="12.75">
      <c r="B156" s="46"/>
    </row>
    <row r="157" ht="12.75">
      <c r="B157" s="46"/>
    </row>
    <row r="158" ht="12.75">
      <c r="B158" s="46"/>
    </row>
    <row r="159" ht="12.75">
      <c r="B159" s="46"/>
    </row>
    <row r="160" ht="12.75">
      <c r="B160" s="46"/>
    </row>
    <row r="161" ht="12.75">
      <c r="B161" s="46"/>
    </row>
    <row r="162" ht="12.75">
      <c r="B162" s="46"/>
    </row>
    <row r="163" ht="12.75">
      <c r="B163" s="46"/>
    </row>
    <row r="164" ht="12.75">
      <c r="B164" s="46"/>
    </row>
    <row r="165" ht="12.75">
      <c r="B165" s="46"/>
    </row>
    <row r="166" ht="12.75">
      <c r="B166" s="46"/>
    </row>
    <row r="167" ht="12.75">
      <c r="B167" s="46"/>
    </row>
    <row r="168" ht="12.75">
      <c r="B168" s="46"/>
    </row>
    <row r="169" ht="12.75">
      <c r="B169" s="46"/>
    </row>
    <row r="170" ht="12.75">
      <c r="B170" s="46"/>
    </row>
    <row r="171" ht="12.75">
      <c r="B171" s="46"/>
    </row>
    <row r="172" ht="12.75">
      <c r="B172" s="46"/>
    </row>
    <row r="173" ht="12.75">
      <c r="B173" s="46"/>
    </row>
    <row r="174" ht="12.75">
      <c r="B174" s="46"/>
    </row>
    <row r="175" ht="12.75">
      <c r="B175" s="46"/>
    </row>
    <row r="176" ht="12.75">
      <c r="B176" s="46"/>
    </row>
    <row r="177" ht="12.75">
      <c r="B177" s="46"/>
    </row>
    <row r="178" ht="12.75">
      <c r="B178" s="46"/>
    </row>
    <row r="179" ht="12.75">
      <c r="B179" s="46"/>
    </row>
    <row r="180" ht="12.75">
      <c r="B180" s="46"/>
    </row>
    <row r="181" ht="12.75">
      <c r="B181" s="46"/>
    </row>
    <row r="182" ht="12.75">
      <c r="B182" s="46"/>
    </row>
    <row r="183" ht="12.75">
      <c r="B183" s="46"/>
    </row>
    <row r="184" ht="12.75">
      <c r="B184" s="46"/>
    </row>
    <row r="185" ht="12.75">
      <c r="B185" s="46"/>
    </row>
    <row r="186" ht="12.75">
      <c r="B186" s="46"/>
    </row>
    <row r="187" ht="12.75">
      <c r="B187" s="46"/>
    </row>
    <row r="188" ht="12.75">
      <c r="B188" s="46"/>
    </row>
    <row r="189" ht="12.75">
      <c r="B189" s="46"/>
    </row>
    <row r="190" ht="12.75">
      <c r="B190" s="46"/>
    </row>
    <row r="191" ht="12.75">
      <c r="B191" s="46"/>
    </row>
    <row r="192" ht="12.75">
      <c r="B192" s="46"/>
    </row>
    <row r="193" ht="12.75">
      <c r="B193" s="46"/>
    </row>
    <row r="194" ht="12.75">
      <c r="B194" s="46"/>
    </row>
    <row r="195" ht="12.75">
      <c r="B195" s="46"/>
    </row>
    <row r="196" ht="12.75">
      <c r="B196" s="46"/>
    </row>
    <row r="197" ht="12.75">
      <c r="B197" s="46"/>
    </row>
    <row r="198" ht="12.75">
      <c r="B198" s="46"/>
    </row>
    <row r="199" ht="12.75">
      <c r="B199" s="46"/>
    </row>
    <row r="200" ht="12.75">
      <c r="B200" s="46"/>
    </row>
    <row r="201" ht="12.75">
      <c r="B201" s="46"/>
    </row>
    <row r="202" ht="12.75">
      <c r="B202" s="46"/>
    </row>
    <row r="203" ht="12.75">
      <c r="B203" s="46"/>
    </row>
    <row r="204" ht="12.75">
      <c r="B204" s="46"/>
    </row>
    <row r="205" ht="12.75">
      <c r="B205" s="46"/>
    </row>
    <row r="206" ht="12.75">
      <c r="B206" s="46"/>
    </row>
    <row r="207" ht="12.75">
      <c r="B207" s="46"/>
    </row>
    <row r="208" ht="12.75">
      <c r="B208" s="46"/>
    </row>
    <row r="209" ht="12.75">
      <c r="B209" s="46"/>
    </row>
    <row r="210" ht="12.75">
      <c r="B210" s="46"/>
    </row>
    <row r="211" ht="12.75">
      <c r="B211" s="46"/>
    </row>
    <row r="212" ht="12.75">
      <c r="B212" s="46"/>
    </row>
    <row r="213" ht="12.75">
      <c r="B213" s="46"/>
    </row>
    <row r="214" ht="12.75">
      <c r="B214" s="46"/>
    </row>
    <row r="215" ht="12.75">
      <c r="B215" s="46"/>
    </row>
    <row r="216" ht="12.75">
      <c r="B216" s="46"/>
    </row>
    <row r="217" ht="12.75">
      <c r="B217" s="46"/>
    </row>
    <row r="218" ht="12.75">
      <c r="B218" s="46"/>
    </row>
    <row r="219" ht="12.75">
      <c r="B219" s="46"/>
    </row>
    <row r="220" ht="12.75">
      <c r="B220" s="46"/>
    </row>
    <row r="221" ht="12.75">
      <c r="B221" s="46"/>
    </row>
    <row r="222" ht="12.75">
      <c r="B222" s="46"/>
    </row>
    <row r="223" ht="12.75">
      <c r="B223" s="46"/>
    </row>
    <row r="224" ht="12.75">
      <c r="B224" s="46"/>
    </row>
    <row r="225" ht="12.75">
      <c r="B225" s="46"/>
    </row>
    <row r="226" ht="12.75">
      <c r="B226" s="46"/>
    </row>
    <row r="227" ht="12.75">
      <c r="B227" s="46"/>
    </row>
    <row r="228" ht="12.75">
      <c r="B228" s="46"/>
    </row>
    <row r="229" ht="12.75">
      <c r="B229" s="46"/>
    </row>
    <row r="230" ht="12.75">
      <c r="B230" s="46"/>
    </row>
    <row r="231" ht="12.75">
      <c r="B231" s="46"/>
    </row>
    <row r="232" ht="12.75">
      <c r="B232" s="46"/>
    </row>
    <row r="233" ht="12.75">
      <c r="B233" s="46"/>
    </row>
    <row r="234" ht="12.75">
      <c r="B234" s="46"/>
    </row>
    <row r="235" ht="12.75">
      <c r="B235" s="46"/>
    </row>
    <row r="236" ht="12.75">
      <c r="B236" s="46"/>
    </row>
    <row r="237" ht="12.75">
      <c r="B237" s="46"/>
    </row>
    <row r="238" ht="12.75">
      <c r="B238" s="46"/>
    </row>
    <row r="239" ht="12.75">
      <c r="B239" s="46"/>
    </row>
    <row r="240" ht="12.75">
      <c r="B240" s="46"/>
    </row>
    <row r="241" ht="12.75">
      <c r="B241" s="46"/>
    </row>
    <row r="242" ht="12.75">
      <c r="B242" s="46"/>
    </row>
    <row r="243" ht="12.75">
      <c r="B243" s="46"/>
    </row>
    <row r="244" ht="12.75">
      <c r="B244" s="46"/>
    </row>
    <row r="245" ht="12.75">
      <c r="B245" s="46"/>
    </row>
    <row r="246" ht="12.75">
      <c r="B246" s="46"/>
    </row>
    <row r="247" ht="12.75">
      <c r="B247" s="46"/>
    </row>
    <row r="248" ht="12.75">
      <c r="B248" s="46"/>
    </row>
    <row r="249" ht="12.75">
      <c r="B249" s="46"/>
    </row>
    <row r="250" ht="12.75">
      <c r="B250" s="46"/>
    </row>
    <row r="251" ht="12.75">
      <c r="B251" s="46"/>
    </row>
    <row r="252" ht="12.75">
      <c r="B252" s="46"/>
    </row>
    <row r="253" ht="12.75">
      <c r="B253" s="46"/>
    </row>
    <row r="254" ht="12.75">
      <c r="B254" s="46"/>
    </row>
    <row r="255" ht="12.75">
      <c r="B255" s="46"/>
    </row>
    <row r="256" ht="12.75">
      <c r="B256" s="46"/>
    </row>
    <row r="257" ht="12.75">
      <c r="B257" s="46"/>
    </row>
    <row r="258" ht="12.75">
      <c r="B258" s="46"/>
    </row>
    <row r="259" ht="12.75">
      <c r="B259" s="46"/>
    </row>
    <row r="260" ht="12.75">
      <c r="B260" s="46"/>
    </row>
    <row r="261" ht="12.75">
      <c r="B261" s="46"/>
    </row>
    <row r="262" ht="12.75">
      <c r="B262" s="46"/>
    </row>
    <row r="263" ht="12.75">
      <c r="B263" s="46"/>
    </row>
    <row r="264" ht="12.75">
      <c r="B264" s="46"/>
    </row>
    <row r="265" ht="12.75">
      <c r="B265" s="46"/>
    </row>
    <row r="266" ht="12.75">
      <c r="B266" s="46"/>
    </row>
    <row r="267" ht="12.75">
      <c r="B267" s="46"/>
    </row>
    <row r="268" ht="12.75">
      <c r="B268" s="46"/>
    </row>
    <row r="269" ht="12.75">
      <c r="B269" s="46"/>
    </row>
    <row r="270" ht="12.75">
      <c r="B270" s="46"/>
    </row>
    <row r="271" ht="12.75">
      <c r="B271" s="46"/>
    </row>
    <row r="272" ht="12.75">
      <c r="B272" s="46"/>
    </row>
    <row r="273" ht="12.75">
      <c r="B273" s="46"/>
    </row>
    <row r="274" ht="12.75">
      <c r="B274" s="46"/>
    </row>
    <row r="275" ht="12.75">
      <c r="B275" s="46"/>
    </row>
    <row r="276" ht="12.75">
      <c r="B276" s="46"/>
    </row>
    <row r="277" ht="12.75">
      <c r="B277" s="46"/>
    </row>
    <row r="278" ht="12.75">
      <c r="B278" s="46"/>
    </row>
    <row r="279" ht="12.75">
      <c r="B279" s="46"/>
    </row>
    <row r="280" ht="12.75">
      <c r="B280" s="46"/>
    </row>
    <row r="281" ht="12.75">
      <c r="B281" s="46"/>
    </row>
    <row r="282" ht="12.75">
      <c r="B282" s="46"/>
    </row>
    <row r="283" ht="12.75">
      <c r="B283" s="46"/>
    </row>
    <row r="284" ht="12.75">
      <c r="B284" s="46"/>
    </row>
    <row r="285" ht="12.75">
      <c r="B285" s="46"/>
    </row>
    <row r="286" ht="12.75">
      <c r="B286" s="46"/>
    </row>
    <row r="287" ht="12.75">
      <c r="B287" s="46"/>
    </row>
    <row r="288" ht="12.75">
      <c r="B288" s="46"/>
    </row>
    <row r="289" ht="12.75">
      <c r="B289" s="46"/>
    </row>
    <row r="290" ht="12.75">
      <c r="B290" s="46"/>
    </row>
    <row r="291" ht="12.75">
      <c r="B291" s="46"/>
    </row>
    <row r="292" ht="12.75">
      <c r="B292" s="46"/>
    </row>
    <row r="293" ht="12.75">
      <c r="B293" s="46"/>
    </row>
    <row r="294" ht="12.75">
      <c r="B294" s="46"/>
    </row>
    <row r="295" ht="12.75">
      <c r="B295" s="46"/>
    </row>
    <row r="296" ht="12.75">
      <c r="B296" s="46"/>
    </row>
    <row r="297" ht="12.75">
      <c r="B297" s="46"/>
    </row>
    <row r="298" ht="12.75">
      <c r="B298" s="46"/>
    </row>
    <row r="299" ht="12.75">
      <c r="B299" s="46"/>
    </row>
    <row r="300" ht="12.75">
      <c r="B300" s="46"/>
    </row>
    <row r="301" ht="12.75">
      <c r="B301" s="46"/>
    </row>
    <row r="302" ht="12.75">
      <c r="B302" s="46"/>
    </row>
    <row r="303" ht="12.75">
      <c r="B303" s="46"/>
    </row>
    <row r="304" ht="12.75">
      <c r="B304" s="46"/>
    </row>
    <row r="305" ht="12.75">
      <c r="B305" s="46"/>
    </row>
    <row r="306" ht="12.75">
      <c r="B306" s="46"/>
    </row>
    <row r="307" ht="12.75">
      <c r="B307" s="46"/>
    </row>
    <row r="308" ht="12.75">
      <c r="B308" s="46"/>
    </row>
    <row r="309" ht="12.75">
      <c r="B309" s="46"/>
    </row>
    <row r="310" ht="12.75">
      <c r="B310" s="46"/>
    </row>
    <row r="311" ht="12.75">
      <c r="B311" s="46"/>
    </row>
    <row r="312" ht="12.75">
      <c r="B312" s="46"/>
    </row>
    <row r="313" ht="12.75">
      <c r="B313" s="46"/>
    </row>
    <row r="314" ht="12.75">
      <c r="B314" s="46"/>
    </row>
    <row r="315" ht="12.75">
      <c r="B315" s="46"/>
    </row>
    <row r="316" ht="12.75">
      <c r="B316" s="46"/>
    </row>
    <row r="317" ht="12.75">
      <c r="B317" s="46"/>
    </row>
    <row r="318" ht="12.75">
      <c r="B318" s="46"/>
    </row>
    <row r="319" ht="12.75">
      <c r="B319" s="46"/>
    </row>
    <row r="320" ht="12.75">
      <c r="B320" s="46"/>
    </row>
    <row r="321" ht="12.75">
      <c r="B321" s="46"/>
    </row>
    <row r="322" ht="12.75">
      <c r="B322" s="46"/>
    </row>
    <row r="323" ht="12.75">
      <c r="B323" s="46"/>
    </row>
    <row r="324" ht="12.75">
      <c r="B324" s="46"/>
    </row>
    <row r="325" ht="12.75">
      <c r="B325" s="46"/>
    </row>
    <row r="326" ht="12.75">
      <c r="B326" s="46"/>
    </row>
    <row r="327" ht="12.75">
      <c r="B327" s="46"/>
    </row>
    <row r="328" ht="12.75">
      <c r="B328" s="46"/>
    </row>
    <row r="329" ht="12.75">
      <c r="B329" s="46"/>
    </row>
    <row r="330" ht="12.75">
      <c r="B330" s="46"/>
    </row>
    <row r="331" ht="12.75">
      <c r="B331" s="46"/>
    </row>
    <row r="332" ht="12.75">
      <c r="B332" s="46"/>
    </row>
    <row r="333" ht="12.75">
      <c r="B333" s="46"/>
    </row>
    <row r="334" ht="12.75">
      <c r="B334" s="46"/>
    </row>
    <row r="335" ht="12.75">
      <c r="B335" s="46"/>
    </row>
    <row r="336" ht="12.75">
      <c r="B336" s="46"/>
    </row>
    <row r="337" ht="12.75">
      <c r="B337" s="46"/>
    </row>
    <row r="338" ht="12.75">
      <c r="B338" s="46"/>
    </row>
    <row r="339" ht="12.75">
      <c r="B339" s="46"/>
    </row>
    <row r="340" ht="12.75">
      <c r="B340" s="46"/>
    </row>
    <row r="341" ht="12.75">
      <c r="B341" s="46"/>
    </row>
    <row r="342" ht="12.75">
      <c r="B342" s="46"/>
    </row>
    <row r="343" ht="12.75">
      <c r="B343" s="46"/>
    </row>
    <row r="344" ht="12.75">
      <c r="B344" s="46"/>
    </row>
    <row r="345" ht="12.75">
      <c r="B345" s="46"/>
    </row>
    <row r="346" ht="12.75">
      <c r="B346" s="46"/>
    </row>
    <row r="347" ht="12.75">
      <c r="B347" s="46"/>
    </row>
    <row r="348" ht="12.75">
      <c r="B348" s="46"/>
    </row>
    <row r="349" ht="12.75">
      <c r="B349" s="46"/>
    </row>
    <row r="350" ht="12.75">
      <c r="B350" s="46"/>
    </row>
    <row r="351" ht="12.75">
      <c r="B351" s="46"/>
    </row>
    <row r="352" ht="12.75">
      <c r="B352" s="46"/>
    </row>
    <row r="353" ht="12.75">
      <c r="B353" s="46"/>
    </row>
    <row r="354" ht="12.75">
      <c r="B354" s="46"/>
    </row>
    <row r="355" ht="12.75">
      <c r="B355" s="46"/>
    </row>
    <row r="356" ht="12.75">
      <c r="B356" s="46"/>
    </row>
    <row r="357" ht="12.75">
      <c r="B357" s="46"/>
    </row>
    <row r="358" ht="12.75">
      <c r="B358" s="46"/>
    </row>
    <row r="359" ht="12.75">
      <c r="B359" s="46"/>
    </row>
    <row r="360" ht="12.75">
      <c r="B360" s="46"/>
    </row>
    <row r="361" ht="12.75">
      <c r="B361" s="46"/>
    </row>
    <row r="362" ht="12.75">
      <c r="B362" s="46"/>
    </row>
    <row r="363" ht="12.75">
      <c r="B363" s="46"/>
    </row>
    <row r="364" ht="12.75">
      <c r="B364" s="46"/>
    </row>
    <row r="365" ht="12.75">
      <c r="B365" s="46"/>
    </row>
    <row r="366" ht="12.75">
      <c r="B366" s="46"/>
    </row>
    <row r="367" ht="12.75">
      <c r="B367" s="46"/>
    </row>
    <row r="368" ht="12.75">
      <c r="B368" s="46"/>
    </row>
    <row r="369" ht="12.75">
      <c r="B369" s="46"/>
    </row>
    <row r="370" ht="12.75">
      <c r="B370" s="46"/>
    </row>
    <row r="371" ht="12.75">
      <c r="B371" s="46"/>
    </row>
    <row r="372" ht="12.75">
      <c r="B372" s="46"/>
    </row>
    <row r="373" ht="12.75">
      <c r="B373" s="46"/>
    </row>
    <row r="374" ht="12.75">
      <c r="B374" s="46"/>
    </row>
    <row r="375" ht="12.75">
      <c r="B375" s="46"/>
    </row>
    <row r="376" ht="12.75">
      <c r="B376" s="46"/>
    </row>
    <row r="377" ht="12.75">
      <c r="B377" s="46"/>
    </row>
    <row r="378" ht="12.75">
      <c r="B378" s="46"/>
    </row>
    <row r="379" ht="12.75">
      <c r="B379" s="46"/>
    </row>
    <row r="380" ht="12.75">
      <c r="B380" s="46"/>
    </row>
    <row r="381" ht="12.75">
      <c r="B381" s="46"/>
    </row>
    <row r="382" ht="12.75">
      <c r="B382" s="46"/>
    </row>
    <row r="383" ht="12.75">
      <c r="B383" s="46"/>
    </row>
    <row r="384" ht="12.75">
      <c r="B384" s="46"/>
    </row>
    <row r="385" ht="12.75">
      <c r="B385" s="46"/>
    </row>
    <row r="386" ht="12.75">
      <c r="B386" s="46"/>
    </row>
    <row r="387" ht="12.75">
      <c r="B387" s="46"/>
    </row>
    <row r="388" ht="12.75">
      <c r="B388" s="46"/>
    </row>
    <row r="389" ht="12.75">
      <c r="B389" s="46"/>
    </row>
    <row r="390" ht="12.75">
      <c r="B390" s="46"/>
    </row>
    <row r="391" ht="12.75">
      <c r="B391" s="46"/>
    </row>
    <row r="392" ht="12.75">
      <c r="B392" s="46"/>
    </row>
    <row r="393" ht="12.75">
      <c r="B393" s="46"/>
    </row>
    <row r="394" ht="12.75">
      <c r="B394" s="46"/>
    </row>
    <row r="395" ht="12.75">
      <c r="B395" s="46"/>
    </row>
    <row r="396" ht="12.75">
      <c r="B396" s="46"/>
    </row>
    <row r="397" ht="12.75">
      <c r="B397" s="46"/>
    </row>
    <row r="398" ht="12.75">
      <c r="B398" s="46"/>
    </row>
    <row r="399" ht="12.75">
      <c r="B399" s="46"/>
    </row>
    <row r="400" ht="12.75">
      <c r="B400" s="46"/>
    </row>
    <row r="401" ht="12.75">
      <c r="B401" s="46"/>
    </row>
    <row r="402" ht="12.75">
      <c r="B402" s="46"/>
    </row>
    <row r="403" ht="12.75">
      <c r="B403" s="46"/>
    </row>
    <row r="404" ht="12.75">
      <c r="B404" s="46"/>
    </row>
    <row r="405" ht="12.75">
      <c r="B405" s="46"/>
    </row>
    <row r="406" ht="12.75">
      <c r="B406" s="46"/>
    </row>
    <row r="407" ht="12.75">
      <c r="B407" s="46"/>
    </row>
    <row r="408" ht="12.75">
      <c r="B408" s="46"/>
    </row>
    <row r="409" ht="12.75">
      <c r="B409" s="46"/>
    </row>
    <row r="410" ht="12.75">
      <c r="B410" s="46"/>
    </row>
    <row r="411" ht="12.75">
      <c r="B411" s="46"/>
    </row>
    <row r="412" ht="12.75">
      <c r="B412" s="46"/>
    </row>
    <row r="413" ht="12.75">
      <c r="B413" s="46"/>
    </row>
    <row r="414" ht="12.75">
      <c r="B414" s="46"/>
    </row>
    <row r="415" ht="12.75">
      <c r="B415" s="46"/>
    </row>
    <row r="416" ht="12.75">
      <c r="B416" s="46"/>
    </row>
    <row r="417" ht="12.75">
      <c r="B417" s="46"/>
    </row>
    <row r="418" ht="12.75">
      <c r="B418" s="46"/>
    </row>
    <row r="419" ht="12.75">
      <c r="B419" s="46"/>
    </row>
    <row r="420" ht="12.75">
      <c r="B420" s="46"/>
    </row>
    <row r="421" ht="12.75">
      <c r="B421" s="46"/>
    </row>
    <row r="422" ht="12.75">
      <c r="B422" s="46"/>
    </row>
    <row r="423" ht="12.75">
      <c r="B423" s="46"/>
    </row>
    <row r="424" ht="12.75">
      <c r="B424" s="46"/>
    </row>
    <row r="425" ht="12.75">
      <c r="B425" s="46"/>
    </row>
    <row r="426" ht="12.75">
      <c r="B426" s="46"/>
    </row>
    <row r="427" ht="12.75">
      <c r="B427" s="46"/>
    </row>
    <row r="428" ht="12.75">
      <c r="B428" s="46"/>
    </row>
    <row r="429" ht="12.75">
      <c r="B429" s="46"/>
    </row>
    <row r="430" ht="12.75">
      <c r="B430" s="46"/>
    </row>
    <row r="431" ht="12.75">
      <c r="B431" s="46"/>
    </row>
    <row r="432" ht="12.75">
      <c r="B432" s="46"/>
    </row>
    <row r="433" ht="12.75">
      <c r="B433" s="46"/>
    </row>
    <row r="434" ht="12.75">
      <c r="B434" s="46"/>
    </row>
    <row r="435" ht="12.75">
      <c r="B435" s="46"/>
    </row>
    <row r="436" ht="12.75">
      <c r="B436" s="46"/>
    </row>
    <row r="437" ht="12.75">
      <c r="B437" s="46"/>
    </row>
    <row r="438" ht="12.75">
      <c r="B438" s="46"/>
    </row>
    <row r="439" ht="12.75">
      <c r="B439" s="46"/>
    </row>
    <row r="440" ht="12.75">
      <c r="B440" s="46"/>
    </row>
    <row r="441" ht="12.75">
      <c r="B441" s="46"/>
    </row>
    <row r="442" ht="12.75">
      <c r="B442" s="46"/>
    </row>
    <row r="443" ht="12.75">
      <c r="B443" s="46"/>
    </row>
    <row r="444" ht="12.75">
      <c r="B444" s="46"/>
    </row>
    <row r="445" ht="12.75">
      <c r="B445" s="46"/>
    </row>
    <row r="446" ht="12.75">
      <c r="B446" s="46"/>
    </row>
    <row r="447" ht="12.75">
      <c r="B447" s="46"/>
    </row>
    <row r="448" ht="12.75">
      <c r="B448" s="46"/>
    </row>
    <row r="449" ht="12.75">
      <c r="B449" s="46"/>
    </row>
    <row r="450" ht="12.75">
      <c r="B450" s="46"/>
    </row>
    <row r="451" ht="12.75">
      <c r="B451" s="46"/>
    </row>
    <row r="452" ht="12.75">
      <c r="B452" s="46"/>
    </row>
    <row r="453" ht="12.75">
      <c r="B453" s="46"/>
    </row>
    <row r="454" ht="12.75">
      <c r="B454" s="46"/>
    </row>
    <row r="455" ht="12.75">
      <c r="B455" s="46"/>
    </row>
    <row r="456" ht="12.75">
      <c r="B456" s="46"/>
    </row>
    <row r="457" ht="12.75">
      <c r="B457" s="46"/>
    </row>
    <row r="458" ht="12.75">
      <c r="B458" s="46"/>
    </row>
    <row r="459" ht="12.75">
      <c r="B459" s="46"/>
    </row>
    <row r="460" ht="12.75">
      <c r="B460" s="46"/>
    </row>
    <row r="461" ht="12.75">
      <c r="B461" s="46"/>
    </row>
    <row r="462" ht="12.75">
      <c r="B462" s="46"/>
    </row>
    <row r="463" ht="12.75">
      <c r="B463" s="46"/>
    </row>
    <row r="464" ht="12.75">
      <c r="B464" s="46"/>
    </row>
    <row r="465" ht="12.75">
      <c r="B465" s="46"/>
    </row>
    <row r="466" ht="12.75">
      <c r="B466" s="46"/>
    </row>
    <row r="467" ht="12.75">
      <c r="B467" s="46"/>
    </row>
    <row r="468" ht="12.75">
      <c r="B468" s="46"/>
    </row>
    <row r="469" ht="12.75">
      <c r="B469" s="46"/>
    </row>
    <row r="470" ht="12.75">
      <c r="B470" s="46"/>
    </row>
    <row r="471" ht="12.75">
      <c r="B471" s="46"/>
    </row>
    <row r="472" ht="12.75">
      <c r="B472" s="46"/>
    </row>
    <row r="473" ht="12.75">
      <c r="B473" s="46"/>
    </row>
    <row r="474" ht="12.75">
      <c r="B474" s="46"/>
    </row>
    <row r="475" ht="12.75">
      <c r="B475" s="46"/>
    </row>
    <row r="476" ht="12.75">
      <c r="B476" s="46"/>
    </row>
    <row r="477" ht="12.75">
      <c r="B477" s="46"/>
    </row>
    <row r="478" ht="12.75">
      <c r="B478" s="46"/>
    </row>
    <row r="479" ht="12.75">
      <c r="B479" s="46"/>
    </row>
    <row r="480" ht="12.75">
      <c r="B480" s="46"/>
    </row>
  </sheetData>
  <mergeCells count="16">
    <mergeCell ref="I10:I11"/>
    <mergeCell ref="A81:A86"/>
    <mergeCell ref="A6:J6"/>
    <mergeCell ref="F1:H1"/>
    <mergeCell ref="F2:H2"/>
    <mergeCell ref="F3:H3"/>
    <mergeCell ref="A92:B92"/>
    <mergeCell ref="A7:J7"/>
    <mergeCell ref="A9:A11"/>
    <mergeCell ref="B9:B11"/>
    <mergeCell ref="C9:F9"/>
    <mergeCell ref="G9:I9"/>
    <mergeCell ref="J9:J11"/>
    <mergeCell ref="C10:C11"/>
    <mergeCell ref="D10:F10"/>
    <mergeCell ref="G10:G11"/>
  </mergeCells>
  <printOptions/>
  <pageMargins left="0.984251968503937" right="0.5905511811023623" top="0.7874015748031497" bottom="0.7874015748031497" header="0" footer="0"/>
  <pageSetup horizontalDpi="600" verticalDpi="600" orientation="portrait" paperSize="9" scale="67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252"/>
  <sheetViews>
    <sheetView view="pageBreakPreview" zoomScale="90" zoomScaleNormal="75" zoomScaleSheetLayoutView="90" workbookViewId="0" topLeftCell="A10">
      <pane xSplit="2" ySplit="5" topLeftCell="C123" activePane="bottomRight" state="frozen"/>
      <selection pane="topLeft" activeCell="A10" sqref="A10"/>
      <selection pane="topRight" activeCell="C10" sqref="C10"/>
      <selection pane="bottomLeft" activeCell="A15" sqref="A15"/>
      <selection pane="bottomRight" activeCell="C126" sqref="C126"/>
    </sheetView>
  </sheetViews>
  <sheetFormatPr defaultColWidth="9.00390625" defaultRowHeight="12.75"/>
  <cols>
    <col min="1" max="1" width="8.25390625" style="52" customWidth="1"/>
    <col min="2" max="2" width="54.875" style="30" customWidth="1"/>
    <col min="3" max="3" width="14.25390625" style="3" customWidth="1"/>
    <col min="4" max="4" width="11.625" style="3" customWidth="1"/>
    <col min="5" max="5" width="10.125" style="3" customWidth="1"/>
    <col min="6" max="6" width="11.875" style="3" customWidth="1"/>
    <col min="7" max="7" width="10.00390625" style="3" customWidth="1"/>
    <col min="8" max="8" width="10.375" style="3" customWidth="1"/>
    <col min="9" max="9" width="7.00390625" style="3" hidden="1" customWidth="1"/>
    <col min="10" max="10" width="12.375" style="3" customWidth="1"/>
    <col min="11" max="11" width="13.125" style="31" customWidth="1"/>
    <col min="12" max="12" width="14.625" style="31" customWidth="1"/>
    <col min="13" max="13" width="10.375" style="31" bestFit="1" customWidth="1"/>
    <col min="14" max="58" width="8.875" style="31" customWidth="1"/>
    <col min="59" max="16384" width="8.875" style="3" customWidth="1"/>
  </cols>
  <sheetData>
    <row r="1" spans="6:10" ht="13.5" customHeight="1" hidden="1">
      <c r="F1" s="365"/>
      <c r="G1" s="365"/>
      <c r="H1" s="365"/>
      <c r="I1" s="365"/>
      <c r="J1" s="365"/>
    </row>
    <row r="2" spans="6:10" ht="13.5" customHeight="1" hidden="1">
      <c r="F2" s="5"/>
      <c r="G2" s="5"/>
      <c r="H2" s="5"/>
      <c r="I2" s="5"/>
      <c r="J2" s="5"/>
    </row>
    <row r="3" spans="6:10" ht="13.5" customHeight="1" hidden="1">
      <c r="F3" s="4" t="s">
        <v>241</v>
      </c>
      <c r="G3" s="4"/>
      <c r="H3" s="4"/>
      <c r="I3" s="4"/>
      <c r="J3" s="4"/>
    </row>
    <row r="4" spans="5:9" ht="15.75">
      <c r="E4" s="32" t="s">
        <v>242</v>
      </c>
      <c r="F4" s="232" t="s">
        <v>243</v>
      </c>
      <c r="G4" s="9"/>
      <c r="H4" s="9"/>
      <c r="I4" s="9"/>
    </row>
    <row r="5" spans="6:9" ht="15.75">
      <c r="F5" s="233" t="s">
        <v>186</v>
      </c>
      <c r="G5" s="5"/>
      <c r="H5" s="5"/>
      <c r="I5" s="5"/>
    </row>
    <row r="6" spans="6:9" ht="12.75">
      <c r="F6" s="171"/>
      <c r="G6" s="171"/>
      <c r="H6" s="171"/>
      <c r="I6" s="171"/>
    </row>
    <row r="7" ht="13.5" customHeight="1"/>
    <row r="8" spans="1:10" ht="15.75">
      <c r="A8" s="352" t="s">
        <v>306</v>
      </c>
      <c r="B8" s="352"/>
      <c r="C8" s="352"/>
      <c r="D8" s="352"/>
      <c r="E8" s="352"/>
      <c r="F8" s="352"/>
      <c r="G8" s="352"/>
      <c r="H8" s="352"/>
      <c r="I8" s="352"/>
      <c r="J8" s="352"/>
    </row>
    <row r="9" spans="1:10" ht="15" customHeight="1">
      <c r="A9" s="352" t="s">
        <v>271</v>
      </c>
      <c r="B9" s="352"/>
      <c r="C9" s="352"/>
      <c r="D9" s="352"/>
      <c r="E9" s="352"/>
      <c r="F9" s="352"/>
      <c r="G9" s="352"/>
      <c r="H9" s="352"/>
      <c r="I9" s="352"/>
      <c r="J9" s="352"/>
    </row>
    <row r="10" spans="7:10" ht="13.5" thickBot="1">
      <c r="G10" s="366" t="s">
        <v>37</v>
      </c>
      <c r="H10" s="366"/>
      <c r="I10" s="366"/>
      <c r="J10" s="366"/>
    </row>
    <row r="11" spans="1:17" ht="24.75" customHeight="1" thickBot="1">
      <c r="A11" s="353" t="s">
        <v>188</v>
      </c>
      <c r="B11" s="372" t="s">
        <v>244</v>
      </c>
      <c r="C11" s="370" t="s">
        <v>190</v>
      </c>
      <c r="D11" s="329"/>
      <c r="E11" s="371"/>
      <c r="F11" s="371"/>
      <c r="G11" s="330" t="s">
        <v>191</v>
      </c>
      <c r="H11" s="331"/>
      <c r="I11" s="332"/>
      <c r="J11" s="359" t="s">
        <v>192</v>
      </c>
      <c r="Q11" s="3"/>
    </row>
    <row r="12" spans="1:10" ht="40.5" customHeight="1" thickBot="1">
      <c r="A12" s="354"/>
      <c r="B12" s="373"/>
      <c r="C12" s="368" t="s">
        <v>193</v>
      </c>
      <c r="D12" s="370" t="s">
        <v>194</v>
      </c>
      <c r="E12" s="371"/>
      <c r="F12" s="371"/>
      <c r="G12" s="368" t="s">
        <v>193</v>
      </c>
      <c r="H12" s="13" t="s">
        <v>195</v>
      </c>
      <c r="I12" s="359" t="s">
        <v>196</v>
      </c>
      <c r="J12" s="367"/>
    </row>
    <row r="13" spans="1:10" ht="96" customHeight="1" thickBot="1">
      <c r="A13" s="355"/>
      <c r="B13" s="374"/>
      <c r="C13" s="369"/>
      <c r="D13" s="13" t="s">
        <v>197</v>
      </c>
      <c r="E13" s="13" t="s">
        <v>198</v>
      </c>
      <c r="F13" s="13" t="s">
        <v>199</v>
      </c>
      <c r="G13" s="369"/>
      <c r="H13" s="13" t="s">
        <v>200</v>
      </c>
      <c r="I13" s="360"/>
      <c r="J13" s="360"/>
    </row>
    <row r="14" spans="1:10" ht="13.5" thickBot="1">
      <c r="A14" s="67">
        <v>1</v>
      </c>
      <c r="B14" s="68">
        <v>2</v>
      </c>
      <c r="C14" s="69">
        <v>3</v>
      </c>
      <c r="D14" s="69">
        <v>4</v>
      </c>
      <c r="E14" s="69">
        <v>5</v>
      </c>
      <c r="F14" s="69">
        <v>6</v>
      </c>
      <c r="G14" s="69">
        <v>7</v>
      </c>
      <c r="H14" s="69">
        <v>8</v>
      </c>
      <c r="I14" s="69">
        <v>10</v>
      </c>
      <c r="J14" s="69">
        <v>9</v>
      </c>
    </row>
    <row r="15" spans="1:58" s="34" customFormat="1" ht="12.75">
      <c r="A15" s="70"/>
      <c r="B15" s="71" t="s">
        <v>246</v>
      </c>
      <c r="C15" s="72">
        <f>D15+E15+F15</f>
        <v>33847.200000000004</v>
      </c>
      <c r="D15" s="72">
        <f>D16+D17+D18+D23</f>
        <v>5148</v>
      </c>
      <c r="E15" s="72">
        <f>E16+E17+E18+E23</f>
        <v>4732.9</v>
      </c>
      <c r="F15" s="72">
        <f>F16+F17+F18+F23+F21+F20+F24+F25+F19</f>
        <v>23966.300000000003</v>
      </c>
      <c r="G15" s="72">
        <f>G16+G17+G18+G23+G21+G20+G24+G25+G22</f>
        <v>5281.3</v>
      </c>
      <c r="H15" s="72">
        <f>H16+H17+H18+H23+H21+H20+H24+H25+H22</f>
        <v>5131.3</v>
      </c>
      <c r="I15" s="72" t="e">
        <f>I16+I17+I18+#REF!+#REF!+#REF!+#REF!+#REF!+#REF!+I23+#REF!</f>
        <v>#REF!</v>
      </c>
      <c r="J15" s="76">
        <f aca="true" t="shared" si="0" ref="J15:J28">C15+G15</f>
        <v>39128.50000000001</v>
      </c>
      <c r="K15" s="167"/>
      <c r="L15" s="167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ht="12.75">
      <c r="A16" s="55" t="s">
        <v>203</v>
      </c>
      <c r="B16" s="36" t="s">
        <v>204</v>
      </c>
      <c r="C16" s="26">
        <f>D16+E16+F16</f>
        <v>21045</v>
      </c>
      <c r="D16" s="21">
        <v>5148</v>
      </c>
      <c r="E16" s="21">
        <v>4732.9</v>
      </c>
      <c r="F16" s="21">
        <v>11164.1</v>
      </c>
      <c r="G16" s="26">
        <v>150</v>
      </c>
      <c r="H16" s="21"/>
      <c r="I16" s="21"/>
      <c r="J16" s="63">
        <f t="shared" si="0"/>
        <v>21195</v>
      </c>
      <c r="K16" s="78"/>
      <c r="L16" s="27"/>
      <c r="M16" s="78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ht="21" customHeight="1">
      <c r="A17" s="55" t="s">
        <v>247</v>
      </c>
      <c r="B17" s="36" t="s">
        <v>71</v>
      </c>
      <c r="C17" s="26">
        <f aca="true" t="shared" si="1" ref="C17:C27">D17+E17+F17</f>
        <v>99</v>
      </c>
      <c r="D17" s="21"/>
      <c r="E17" s="21"/>
      <c r="F17" s="21">
        <f>103.5-4.5</f>
        <v>99</v>
      </c>
      <c r="G17" s="26">
        <f>H17</f>
        <v>0</v>
      </c>
      <c r="H17" s="21"/>
      <c r="I17" s="21"/>
      <c r="J17" s="63">
        <f t="shared" si="0"/>
        <v>99</v>
      </c>
      <c r="K17" s="119"/>
      <c r="L17" s="121"/>
      <c r="M17" s="119"/>
      <c r="N17" s="73"/>
      <c r="O17" s="73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58" ht="18" customHeight="1">
      <c r="A18" s="55" t="s">
        <v>217</v>
      </c>
      <c r="B18" s="20" t="s">
        <v>218</v>
      </c>
      <c r="C18" s="26">
        <f t="shared" si="1"/>
        <v>36</v>
      </c>
      <c r="D18" s="21"/>
      <c r="E18" s="21"/>
      <c r="F18" s="21">
        <v>36</v>
      </c>
      <c r="G18" s="26">
        <f>H18</f>
        <v>0</v>
      </c>
      <c r="H18" s="21"/>
      <c r="I18" s="21"/>
      <c r="J18" s="63">
        <f t="shared" si="0"/>
        <v>36</v>
      </c>
      <c r="K18" s="119"/>
      <c r="L18" s="74"/>
      <c r="M18" s="74"/>
      <c r="N18" s="74"/>
      <c r="O18" s="75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</row>
    <row r="19" spans="1:58" ht="12.75" customHeight="1">
      <c r="A19" s="60" t="s">
        <v>408</v>
      </c>
      <c r="B19" s="17" t="s">
        <v>248</v>
      </c>
      <c r="C19" s="26">
        <f t="shared" si="1"/>
        <v>27.6</v>
      </c>
      <c r="D19" s="21"/>
      <c r="E19" s="21"/>
      <c r="F19" s="21">
        <v>27.6</v>
      </c>
      <c r="G19" s="26"/>
      <c r="H19" s="21"/>
      <c r="I19" s="21"/>
      <c r="J19" s="63">
        <f t="shared" si="0"/>
        <v>27.6</v>
      </c>
      <c r="K19" s="119"/>
      <c r="L19" s="74"/>
      <c r="M19" s="74"/>
      <c r="N19" s="74"/>
      <c r="O19" s="75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</row>
    <row r="20" spans="1:58" ht="12.75" customHeight="1">
      <c r="A20" s="55" t="s">
        <v>299</v>
      </c>
      <c r="B20" s="17" t="s">
        <v>300</v>
      </c>
      <c r="C20" s="26">
        <f t="shared" si="1"/>
        <v>2643.9</v>
      </c>
      <c r="D20" s="21"/>
      <c r="E20" s="21"/>
      <c r="F20" s="21">
        <f>1643.9+1000</f>
        <v>2643.9</v>
      </c>
      <c r="G20" s="26"/>
      <c r="H20" s="21"/>
      <c r="I20" s="21"/>
      <c r="J20" s="63">
        <f t="shared" si="0"/>
        <v>2643.9</v>
      </c>
      <c r="K20" s="119"/>
      <c r="L20" s="74"/>
      <c r="M20" s="74"/>
      <c r="N20" s="74"/>
      <c r="O20" s="75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</row>
    <row r="21" spans="1:58" ht="29.25" customHeight="1">
      <c r="A21" s="60" t="s">
        <v>89</v>
      </c>
      <c r="B21" s="20" t="s">
        <v>398</v>
      </c>
      <c r="C21" s="26">
        <f t="shared" si="1"/>
        <v>6250</v>
      </c>
      <c r="D21" s="26"/>
      <c r="E21" s="26"/>
      <c r="F21" s="26">
        <f>4000+2250</f>
        <v>6250</v>
      </c>
      <c r="G21" s="26"/>
      <c r="H21" s="26"/>
      <c r="I21" s="26"/>
      <c r="J21" s="56">
        <f t="shared" si="0"/>
        <v>6250</v>
      </c>
      <c r="K21" s="148"/>
      <c r="L21" s="1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36" customHeight="1">
      <c r="A22" s="60" t="s">
        <v>393</v>
      </c>
      <c r="B22" s="17" t="s">
        <v>394</v>
      </c>
      <c r="C22" s="26">
        <f t="shared" si="1"/>
        <v>0</v>
      </c>
      <c r="D22" s="26"/>
      <c r="E22" s="26"/>
      <c r="F22" s="26"/>
      <c r="G22" s="26">
        <v>1219</v>
      </c>
      <c r="H22" s="26">
        <v>1219</v>
      </c>
      <c r="I22" s="26"/>
      <c r="J22" s="56">
        <f t="shared" si="0"/>
        <v>1219</v>
      </c>
      <c r="K22" s="148"/>
      <c r="L22" s="1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ht="12.75">
      <c r="A23" s="55" t="s">
        <v>90</v>
      </c>
      <c r="B23" s="36" t="s">
        <v>248</v>
      </c>
      <c r="C23" s="26">
        <f t="shared" si="1"/>
        <v>691.2</v>
      </c>
      <c r="D23" s="21"/>
      <c r="E23" s="21"/>
      <c r="F23" s="21">
        <v>691.2</v>
      </c>
      <c r="G23" s="21">
        <f>H23</f>
        <v>0</v>
      </c>
      <c r="H23" s="21"/>
      <c r="I23" s="21"/>
      <c r="J23" s="63">
        <f t="shared" si="0"/>
        <v>691.2</v>
      </c>
      <c r="K23" s="78"/>
      <c r="L23" s="27"/>
      <c r="M23" s="78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58" ht="12.75">
      <c r="A24" s="55" t="s">
        <v>298</v>
      </c>
      <c r="B24" s="17" t="s">
        <v>318</v>
      </c>
      <c r="C24" s="26"/>
      <c r="D24" s="21"/>
      <c r="E24" s="21"/>
      <c r="F24" s="21"/>
      <c r="G24" s="21">
        <f>H24</f>
        <v>3912.3</v>
      </c>
      <c r="H24" s="21">
        <v>3912.3</v>
      </c>
      <c r="I24" s="21"/>
      <c r="J24" s="63">
        <f t="shared" si="0"/>
        <v>3912.3</v>
      </c>
      <c r="K24" s="78"/>
      <c r="L24" s="27"/>
      <c r="M24" s="78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58" ht="38.25">
      <c r="A25" s="55" t="s">
        <v>59</v>
      </c>
      <c r="B25" s="20" t="s">
        <v>272</v>
      </c>
      <c r="C25" s="26">
        <f>D25+E25+F25</f>
        <v>3054.5</v>
      </c>
      <c r="D25" s="21"/>
      <c r="E25" s="21"/>
      <c r="F25" s="21">
        <f>F27+F26</f>
        <v>3054.5</v>
      </c>
      <c r="G25" s="21"/>
      <c r="H25" s="21"/>
      <c r="I25" s="21"/>
      <c r="J25" s="63">
        <f t="shared" si="0"/>
        <v>3054.5</v>
      </c>
      <c r="K25" s="78"/>
      <c r="L25" s="27"/>
      <c r="M25" s="78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ht="13.5" customHeight="1">
      <c r="A26" s="55"/>
      <c r="B26" s="61" t="s">
        <v>387</v>
      </c>
      <c r="C26" s="26">
        <f>D26+E26+F26</f>
        <v>3000</v>
      </c>
      <c r="D26" s="21"/>
      <c r="E26" s="21"/>
      <c r="F26" s="21">
        <f>3000</f>
        <v>3000</v>
      </c>
      <c r="G26" s="21"/>
      <c r="H26" s="21"/>
      <c r="I26" s="21"/>
      <c r="J26" s="63">
        <f t="shared" si="0"/>
        <v>3000</v>
      </c>
      <c r="K26" s="78"/>
      <c r="L26" s="27"/>
      <c r="M26" s="78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ht="26.25" customHeight="1">
      <c r="A27" s="55"/>
      <c r="B27" s="61" t="s">
        <v>315</v>
      </c>
      <c r="C27" s="26">
        <f t="shared" si="1"/>
        <v>54.5</v>
      </c>
      <c r="D27" s="21"/>
      <c r="E27" s="21"/>
      <c r="F27" s="21">
        <v>54.5</v>
      </c>
      <c r="G27" s="21"/>
      <c r="H27" s="21"/>
      <c r="I27" s="21"/>
      <c r="J27" s="63">
        <f t="shared" si="0"/>
        <v>54.5</v>
      </c>
      <c r="K27" s="78"/>
      <c r="L27" s="27"/>
      <c r="M27" s="78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11" s="18" customFormat="1" ht="22.5" customHeight="1">
      <c r="A28" s="54"/>
      <c r="B28" s="47" t="s">
        <v>8</v>
      </c>
      <c r="C28" s="130">
        <f>D28+E28+F28</f>
        <v>473413.79999999993</v>
      </c>
      <c r="D28" s="41">
        <f>D29+D31+D32+D30</f>
        <v>153668.6</v>
      </c>
      <c r="E28" s="41">
        <f>E29+E31+E32+E30</f>
        <v>46783.700000000004</v>
      </c>
      <c r="F28" s="41">
        <f>F29+F31+F32+F30</f>
        <v>272961.49999999994</v>
      </c>
      <c r="G28" s="41">
        <f>G29+G31+G32</f>
        <v>2918.9</v>
      </c>
      <c r="H28" s="41">
        <f>H29+H31+H32</f>
        <v>0</v>
      </c>
      <c r="I28" s="41">
        <f>I29+I31+I32</f>
        <v>0</v>
      </c>
      <c r="J28" s="76">
        <f t="shared" si="0"/>
        <v>476332.69999999995</v>
      </c>
      <c r="K28" s="24"/>
    </row>
    <row r="29" spans="1:58" ht="29.25" customHeight="1">
      <c r="A29" s="55" t="s">
        <v>208</v>
      </c>
      <c r="B29" s="20" t="s">
        <v>402</v>
      </c>
      <c r="C29" s="26">
        <f>D29+E29+F29</f>
        <v>460610</v>
      </c>
      <c r="D29" s="26">
        <v>152884.4</v>
      </c>
      <c r="E29" s="26">
        <v>46775.3</v>
      </c>
      <c r="F29" s="26">
        <v>260950.3</v>
      </c>
      <c r="G29" s="21">
        <v>2918.9</v>
      </c>
      <c r="H29" s="21"/>
      <c r="I29" s="21"/>
      <c r="J29" s="63">
        <f aca="true" t="shared" si="2" ref="J29:J34">C29+G29</f>
        <v>463528.9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8" ht="31.5" customHeight="1">
      <c r="A30" s="55" t="s">
        <v>174</v>
      </c>
      <c r="B30" s="20" t="s">
        <v>343</v>
      </c>
      <c r="C30" s="26">
        <f>D30+E30+F30</f>
        <v>1245.4</v>
      </c>
      <c r="D30" s="26">
        <v>784.2</v>
      </c>
      <c r="E30" s="26">
        <v>8.4</v>
      </c>
      <c r="F30" s="26">
        <v>452.8</v>
      </c>
      <c r="G30" s="21"/>
      <c r="H30" s="21"/>
      <c r="I30" s="21"/>
      <c r="J30" s="63">
        <f t="shared" si="2"/>
        <v>1245.4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</row>
    <row r="31" spans="1:58" ht="25.5" customHeight="1">
      <c r="A31" s="55" t="s">
        <v>58</v>
      </c>
      <c r="B31" s="17" t="s">
        <v>397</v>
      </c>
      <c r="C31" s="26">
        <f aca="true" t="shared" si="3" ref="C31:C43">D31+E31+F31</f>
        <v>11259.1</v>
      </c>
      <c r="D31" s="21"/>
      <c r="E31" s="21"/>
      <c r="F31" s="21">
        <v>11259.1</v>
      </c>
      <c r="G31" s="21"/>
      <c r="H31" s="21"/>
      <c r="I31" s="21"/>
      <c r="J31" s="63">
        <f t="shared" si="2"/>
        <v>11259.1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8" ht="38.25">
      <c r="A32" s="60" t="s">
        <v>59</v>
      </c>
      <c r="B32" s="20" t="s">
        <v>272</v>
      </c>
      <c r="C32" s="26">
        <f t="shared" si="3"/>
        <v>299.3</v>
      </c>
      <c r="D32" s="21"/>
      <c r="E32" s="21"/>
      <c r="F32" s="21">
        <f>F33</f>
        <v>299.3</v>
      </c>
      <c r="G32" s="21"/>
      <c r="H32" s="21"/>
      <c r="I32" s="21"/>
      <c r="J32" s="63">
        <f t="shared" si="2"/>
        <v>299.3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8" ht="18.75" customHeight="1">
      <c r="A33" s="60"/>
      <c r="B33" s="20" t="s">
        <v>184</v>
      </c>
      <c r="C33" s="26">
        <f t="shared" si="3"/>
        <v>299.3</v>
      </c>
      <c r="D33" s="21"/>
      <c r="E33" s="21"/>
      <c r="F33" s="21">
        <v>299.3</v>
      </c>
      <c r="G33" s="21"/>
      <c r="H33" s="21"/>
      <c r="I33" s="21"/>
      <c r="J33" s="63">
        <f t="shared" si="2"/>
        <v>299.3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1:58" s="18" customFormat="1" ht="12.75">
      <c r="A34" s="54"/>
      <c r="B34" s="48" t="s">
        <v>7</v>
      </c>
      <c r="C34" s="41">
        <f t="shared" si="3"/>
        <v>1116557.6</v>
      </c>
      <c r="D34" s="41">
        <f>D35+D37+D38</f>
        <v>459069.7</v>
      </c>
      <c r="E34" s="41">
        <f>E35+E37+E38</f>
        <v>99518.6</v>
      </c>
      <c r="F34" s="41">
        <f>F35+F37+F38+F39</f>
        <v>557969.2999999999</v>
      </c>
      <c r="G34" s="41">
        <f>G35+G37</f>
        <v>36643.6</v>
      </c>
      <c r="H34" s="41">
        <f>H35+H37+H38</f>
        <v>0</v>
      </c>
      <c r="I34" s="41">
        <f>I35+I37+I38</f>
        <v>0</v>
      </c>
      <c r="J34" s="76">
        <f t="shared" si="2"/>
        <v>1153201.2000000002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</row>
    <row r="35" spans="1:58" ht="39" customHeight="1">
      <c r="A35" s="55" t="s">
        <v>210</v>
      </c>
      <c r="B35" s="36" t="s">
        <v>76</v>
      </c>
      <c r="C35" s="26">
        <f t="shared" si="3"/>
        <v>1070219.8</v>
      </c>
      <c r="D35" s="21">
        <v>442915</v>
      </c>
      <c r="E35" s="21">
        <v>94857.3</v>
      </c>
      <c r="F35" s="21">
        <f>531447.5+3000-2000</f>
        <v>532447.5</v>
      </c>
      <c r="G35" s="21">
        <v>30037.9</v>
      </c>
      <c r="H35" s="21"/>
      <c r="I35" s="21"/>
      <c r="J35" s="63">
        <f aca="true" t="shared" si="4" ref="J35:J84">C35+G35</f>
        <v>1100257.7</v>
      </c>
      <c r="K35" s="78"/>
      <c r="L35" s="120"/>
      <c r="M35" s="78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ht="26.25" customHeight="1">
      <c r="A36" s="55" t="s">
        <v>253</v>
      </c>
      <c r="B36" s="36" t="s">
        <v>254</v>
      </c>
      <c r="C36" s="26">
        <f t="shared" si="3"/>
        <v>38398</v>
      </c>
      <c r="D36" s="21"/>
      <c r="E36" s="21"/>
      <c r="F36" s="26">
        <v>38398</v>
      </c>
      <c r="G36" s="21"/>
      <c r="H36" s="21"/>
      <c r="I36" s="21"/>
      <c r="J36" s="63">
        <f t="shared" si="4"/>
        <v>38398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ht="42.75" customHeight="1">
      <c r="A37" s="55" t="s">
        <v>208</v>
      </c>
      <c r="B37" s="36" t="s">
        <v>399</v>
      </c>
      <c r="C37" s="26">
        <f t="shared" si="3"/>
        <v>43671.6</v>
      </c>
      <c r="D37" s="21">
        <v>15302.2</v>
      </c>
      <c r="E37" s="21">
        <v>4585.3</v>
      </c>
      <c r="F37" s="21">
        <v>23784.1</v>
      </c>
      <c r="G37" s="21">
        <v>6605.7</v>
      </c>
      <c r="H37" s="21"/>
      <c r="I37" s="21"/>
      <c r="J37" s="63">
        <f t="shared" si="4"/>
        <v>50277.299999999996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2.75" customHeight="1">
      <c r="A38" s="55" t="s">
        <v>175</v>
      </c>
      <c r="B38" s="36" t="s">
        <v>249</v>
      </c>
      <c r="C38" s="26">
        <f t="shared" si="3"/>
        <v>1575.7</v>
      </c>
      <c r="D38" s="21">
        <v>852.5</v>
      </c>
      <c r="E38" s="21">
        <v>76</v>
      </c>
      <c r="F38" s="21">
        <v>647.2</v>
      </c>
      <c r="G38" s="21">
        <v>0</v>
      </c>
      <c r="H38" s="21"/>
      <c r="I38" s="21"/>
      <c r="J38" s="63">
        <f t="shared" si="4"/>
        <v>1575.7</v>
      </c>
      <c r="K38" s="78"/>
      <c r="L38" s="27"/>
      <c r="M38" s="78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26.25" customHeight="1">
      <c r="A39" s="55" t="s">
        <v>58</v>
      </c>
      <c r="B39" s="20" t="s">
        <v>292</v>
      </c>
      <c r="C39" s="26">
        <f t="shared" si="3"/>
        <v>1090.5</v>
      </c>
      <c r="D39" s="21"/>
      <c r="E39" s="21"/>
      <c r="F39" s="21">
        <v>1090.5</v>
      </c>
      <c r="G39" s="21"/>
      <c r="H39" s="21"/>
      <c r="I39" s="21"/>
      <c r="J39" s="63"/>
      <c r="K39" s="78"/>
      <c r="L39" s="27"/>
      <c r="M39" s="78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s="18" customFormat="1" ht="25.5" customHeight="1">
      <c r="A40" s="54"/>
      <c r="B40" s="48" t="s">
        <v>205</v>
      </c>
      <c r="C40" s="41">
        <f t="shared" si="3"/>
        <v>201569.3</v>
      </c>
      <c r="D40" s="41">
        <f>D42+D43+D45+D46+D47+D44+D41</f>
        <v>72400.3</v>
      </c>
      <c r="E40" s="41">
        <f>E42+E43+E45+E46+E47+E44+E41</f>
        <v>27485.7</v>
      </c>
      <c r="F40" s="41">
        <f>F42+F43+F45+F46+F47+F44+F41+F48</f>
        <v>101683.3</v>
      </c>
      <c r="G40" s="41">
        <f>G42+G43+G45+G46+G47+G44+G41+G49</f>
        <v>36543.5</v>
      </c>
      <c r="H40" s="41">
        <f>H42+H43+H45+H46+H47+H44+H41</f>
        <v>0</v>
      </c>
      <c r="I40" s="41" t="e">
        <f>I42+#REF!+#REF!+I43+I45+#REF!+I46+I47+#REF!+#REF!+#REF!+I44+#REF!+#REF!+I41</f>
        <v>#REF!</v>
      </c>
      <c r="J40" s="76">
        <f>C40+G40</f>
        <v>238112.8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1:11" s="18" customFormat="1" ht="27" customHeight="1">
      <c r="A41" s="55" t="s">
        <v>74</v>
      </c>
      <c r="B41" s="138" t="s">
        <v>75</v>
      </c>
      <c r="C41" s="26">
        <f t="shared" si="3"/>
        <v>1344.4</v>
      </c>
      <c r="D41" s="128"/>
      <c r="E41" s="128"/>
      <c r="F41" s="26">
        <v>1344.4</v>
      </c>
      <c r="G41" s="128"/>
      <c r="H41" s="128"/>
      <c r="I41" s="128"/>
      <c r="J41" s="56">
        <f t="shared" si="4"/>
        <v>1344.4</v>
      </c>
      <c r="K41" s="24"/>
    </row>
    <row r="42" spans="1:58" ht="15" customHeight="1">
      <c r="A42" s="55" t="s">
        <v>215</v>
      </c>
      <c r="B42" s="20" t="s">
        <v>216</v>
      </c>
      <c r="C42" s="26">
        <f t="shared" si="3"/>
        <v>0.6</v>
      </c>
      <c r="D42" s="21"/>
      <c r="E42" s="21"/>
      <c r="F42" s="21">
        <v>0.6</v>
      </c>
      <c r="G42" s="21"/>
      <c r="H42" s="21"/>
      <c r="I42" s="21"/>
      <c r="J42" s="63">
        <f t="shared" si="4"/>
        <v>0.6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104.25" customHeight="1">
      <c r="A43" s="55" t="s">
        <v>94</v>
      </c>
      <c r="B43" s="20" t="s">
        <v>93</v>
      </c>
      <c r="C43" s="26">
        <f t="shared" si="3"/>
        <v>192467.3</v>
      </c>
      <c r="D43" s="21">
        <v>72400.3</v>
      </c>
      <c r="E43" s="21">
        <v>27485.7</v>
      </c>
      <c r="F43" s="21">
        <v>92581.3</v>
      </c>
      <c r="G43" s="21">
        <v>36543.5</v>
      </c>
      <c r="H43" s="21"/>
      <c r="I43" s="21"/>
      <c r="J43" s="63">
        <f t="shared" si="4"/>
        <v>229010.8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ht="29.25" customHeight="1">
      <c r="A44" s="55" t="s">
        <v>219</v>
      </c>
      <c r="B44" s="20" t="s">
        <v>250</v>
      </c>
      <c r="C44" s="26">
        <f>D44+E44+F44</f>
        <v>179.4</v>
      </c>
      <c r="D44" s="26"/>
      <c r="E44" s="26"/>
      <c r="F44" s="26">
        <v>179.4</v>
      </c>
      <c r="G44" s="26"/>
      <c r="H44" s="26"/>
      <c r="I44" s="26"/>
      <c r="J44" s="56">
        <f t="shared" si="4"/>
        <v>179.4</v>
      </c>
      <c r="K44" s="7"/>
      <c r="L44" s="18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ht="15" customHeight="1">
      <c r="A45" s="55" t="s">
        <v>91</v>
      </c>
      <c r="B45" s="17" t="s">
        <v>107</v>
      </c>
      <c r="C45" s="26">
        <f aca="true" t="shared" si="5" ref="C45:C68">D45+E45+F45</f>
        <v>1273.1</v>
      </c>
      <c r="D45" s="21"/>
      <c r="E45" s="21"/>
      <c r="F45" s="21">
        <v>1273.1</v>
      </c>
      <c r="G45" s="21"/>
      <c r="H45" s="21"/>
      <c r="I45" s="21"/>
      <c r="J45" s="63">
        <f t="shared" si="4"/>
        <v>1273.1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ht="28.5" customHeight="1">
      <c r="A46" s="55" t="s">
        <v>259</v>
      </c>
      <c r="B46" s="20" t="s">
        <v>261</v>
      </c>
      <c r="C46" s="26">
        <f t="shared" si="5"/>
        <v>900</v>
      </c>
      <c r="D46" s="26"/>
      <c r="E46" s="26"/>
      <c r="F46" s="26">
        <v>900</v>
      </c>
      <c r="G46" s="21"/>
      <c r="H46" s="21"/>
      <c r="I46" s="21"/>
      <c r="J46" s="63">
        <f t="shared" si="4"/>
        <v>900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ht="12" customHeight="1">
      <c r="A47" s="55" t="s">
        <v>262</v>
      </c>
      <c r="B47" s="20" t="s">
        <v>263</v>
      </c>
      <c r="C47" s="26">
        <f t="shared" si="5"/>
        <v>1064.7</v>
      </c>
      <c r="D47" s="26"/>
      <c r="E47" s="26"/>
      <c r="F47" s="26">
        <v>1064.7</v>
      </c>
      <c r="G47" s="21"/>
      <c r="H47" s="21"/>
      <c r="I47" s="21"/>
      <c r="J47" s="63">
        <f t="shared" si="4"/>
        <v>1064.7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ht="27" customHeight="1">
      <c r="A48" s="55" t="s">
        <v>58</v>
      </c>
      <c r="B48" s="20" t="s">
        <v>292</v>
      </c>
      <c r="C48" s="26">
        <f t="shared" si="5"/>
        <v>4339.8</v>
      </c>
      <c r="D48" s="26"/>
      <c r="E48" s="26"/>
      <c r="F48" s="26">
        <v>4339.8</v>
      </c>
      <c r="G48" s="21"/>
      <c r="H48" s="21"/>
      <c r="I48" s="21"/>
      <c r="J48" s="63">
        <f t="shared" si="4"/>
        <v>4339.8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ht="91.5" customHeight="1">
      <c r="A49" s="55" t="s">
        <v>269</v>
      </c>
      <c r="B49" s="223" t="s">
        <v>270</v>
      </c>
      <c r="C49" s="26"/>
      <c r="D49" s="26"/>
      <c r="E49" s="26"/>
      <c r="F49" s="26"/>
      <c r="G49" s="21"/>
      <c r="H49" s="21"/>
      <c r="I49" s="21"/>
      <c r="J49" s="63">
        <f t="shared" si="4"/>
        <v>0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10" ht="27.75" customHeight="1">
      <c r="A50" s="54"/>
      <c r="B50" s="49" t="s">
        <v>206</v>
      </c>
      <c r="C50" s="41">
        <f>D50+E50+F50</f>
        <v>25067.600000000002</v>
      </c>
      <c r="D50" s="41">
        <f>D51+D52+D53+D54+D55+D56+D57+D58</f>
        <v>2353.2</v>
      </c>
      <c r="E50" s="41">
        <f>E51+E52+E53+E54+E55+E56+E57+E58</f>
        <v>670.5</v>
      </c>
      <c r="F50" s="41">
        <f>F51+F52+F53+F54+F55+F56+F57+F58</f>
        <v>22043.9</v>
      </c>
      <c r="G50" s="41">
        <f>G51+G52+G53+G54+G55+G56+G57+G58</f>
        <v>0</v>
      </c>
      <c r="H50" s="41">
        <f>H51+H52+H53+H54+H55+H56+H57+H58</f>
        <v>0</v>
      </c>
      <c r="I50" s="23"/>
      <c r="J50" s="76">
        <f t="shared" si="4"/>
        <v>25067.600000000002</v>
      </c>
    </row>
    <row r="51" spans="1:58" ht="18" customHeight="1">
      <c r="A51" s="55" t="s">
        <v>38</v>
      </c>
      <c r="B51" s="17" t="s">
        <v>39</v>
      </c>
      <c r="C51" s="26">
        <f t="shared" si="5"/>
        <v>1199.2</v>
      </c>
      <c r="D51" s="26">
        <v>705</v>
      </c>
      <c r="E51" s="26">
        <v>47.6</v>
      </c>
      <c r="F51" s="26">
        <v>446.6</v>
      </c>
      <c r="G51" s="21"/>
      <c r="H51" s="21"/>
      <c r="I51" s="21"/>
      <c r="J51" s="63">
        <f t="shared" si="4"/>
        <v>1199.2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25.5">
      <c r="A52" s="55" t="s">
        <v>40</v>
      </c>
      <c r="B52" s="17" t="s">
        <v>41</v>
      </c>
      <c r="C52" s="26">
        <f t="shared" si="5"/>
        <v>203.8</v>
      </c>
      <c r="D52" s="26"/>
      <c r="E52" s="26"/>
      <c r="F52" s="26">
        <v>203.8</v>
      </c>
      <c r="G52" s="21"/>
      <c r="H52" s="21"/>
      <c r="I52" s="21"/>
      <c r="J52" s="63">
        <f t="shared" si="4"/>
        <v>203.8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ht="25.5">
      <c r="A53" s="55" t="s">
        <v>42</v>
      </c>
      <c r="B53" s="17" t="s">
        <v>84</v>
      </c>
      <c r="C53" s="26">
        <f t="shared" si="5"/>
        <v>1222.4</v>
      </c>
      <c r="D53" s="26"/>
      <c r="E53" s="26"/>
      <c r="F53" s="26">
        <v>1222.4</v>
      </c>
      <c r="G53" s="21"/>
      <c r="H53" s="21"/>
      <c r="I53" s="21"/>
      <c r="J53" s="63">
        <f t="shared" si="4"/>
        <v>1222.4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ht="25.5">
      <c r="A54" s="55" t="s">
        <v>43</v>
      </c>
      <c r="B54" s="17" t="s">
        <v>44</v>
      </c>
      <c r="C54" s="26">
        <f t="shared" si="5"/>
        <v>149.3</v>
      </c>
      <c r="D54" s="26"/>
      <c r="E54" s="26"/>
      <c r="F54" s="26">
        <v>149.3</v>
      </c>
      <c r="G54" s="21"/>
      <c r="H54" s="21"/>
      <c r="I54" s="21"/>
      <c r="J54" s="63">
        <f t="shared" si="4"/>
        <v>149.3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ht="15" customHeight="1">
      <c r="A55" s="55" t="s">
        <v>45</v>
      </c>
      <c r="B55" s="17" t="s">
        <v>46</v>
      </c>
      <c r="C55" s="26">
        <f t="shared" si="5"/>
        <v>1235.6</v>
      </c>
      <c r="D55" s="26">
        <v>458.1</v>
      </c>
      <c r="E55" s="26">
        <v>63</v>
      </c>
      <c r="F55" s="26">
        <v>714.5</v>
      </c>
      <c r="G55" s="21"/>
      <c r="H55" s="21"/>
      <c r="I55" s="21"/>
      <c r="J55" s="63">
        <f t="shared" si="4"/>
        <v>1235.6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ht="12.75">
      <c r="A56" s="55" t="s">
        <v>47</v>
      </c>
      <c r="B56" s="17" t="s">
        <v>48</v>
      </c>
      <c r="C56" s="26">
        <f t="shared" si="5"/>
        <v>3301.9</v>
      </c>
      <c r="D56" s="26">
        <v>1190.1</v>
      </c>
      <c r="E56" s="26">
        <v>559.9</v>
      </c>
      <c r="F56" s="26">
        <v>1551.9</v>
      </c>
      <c r="G56" s="21"/>
      <c r="H56" s="21"/>
      <c r="I56" s="21"/>
      <c r="J56" s="63">
        <f t="shared" si="4"/>
        <v>3301.9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ht="25.5">
      <c r="A57" s="55" t="s">
        <v>49</v>
      </c>
      <c r="B57" s="17" t="s">
        <v>50</v>
      </c>
      <c r="C57" s="26">
        <f t="shared" si="5"/>
        <v>225.4</v>
      </c>
      <c r="D57" s="26"/>
      <c r="E57" s="26"/>
      <c r="F57" s="26">
        <v>225.4</v>
      </c>
      <c r="G57" s="21"/>
      <c r="H57" s="21"/>
      <c r="I57" s="21"/>
      <c r="J57" s="63">
        <f t="shared" si="4"/>
        <v>225.4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ht="51">
      <c r="A58" s="55" t="s">
        <v>72</v>
      </c>
      <c r="B58" s="20" t="s">
        <v>73</v>
      </c>
      <c r="C58" s="26">
        <f t="shared" si="5"/>
        <v>17530</v>
      </c>
      <c r="D58" s="26"/>
      <c r="E58" s="26"/>
      <c r="F58" s="26">
        <f>17530</f>
        <v>17530</v>
      </c>
      <c r="G58" s="26"/>
      <c r="H58" s="26"/>
      <c r="I58" s="26"/>
      <c r="J58" s="56">
        <f t="shared" si="4"/>
        <v>17530</v>
      </c>
      <c r="K58" s="7"/>
      <c r="L58" s="18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58" s="18" customFormat="1" ht="29.25" customHeight="1">
      <c r="A59" s="54"/>
      <c r="B59" s="49" t="s">
        <v>388</v>
      </c>
      <c r="C59" s="41">
        <f>D59+E59+F59</f>
        <v>16182.900000000001</v>
      </c>
      <c r="D59" s="23"/>
      <c r="E59" s="23"/>
      <c r="F59" s="23">
        <f>F62+F65+F60+F61+F63</f>
        <v>16182.900000000001</v>
      </c>
      <c r="G59" s="23">
        <f>G62+G65+G64</f>
        <v>10083.5</v>
      </c>
      <c r="H59" s="23">
        <f>H62+H65+H64</f>
        <v>10000</v>
      </c>
      <c r="I59" s="23"/>
      <c r="J59" s="76">
        <f t="shared" si="4"/>
        <v>26266.4</v>
      </c>
      <c r="K59" s="77"/>
      <c r="L59" s="77"/>
      <c r="M59" s="77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1:58" s="18" customFormat="1" ht="15" customHeight="1">
      <c r="A60" s="55" t="s">
        <v>323</v>
      </c>
      <c r="B60" s="17" t="s">
        <v>325</v>
      </c>
      <c r="C60" s="26">
        <f t="shared" si="5"/>
        <v>200</v>
      </c>
      <c r="D60" s="23"/>
      <c r="E60" s="23"/>
      <c r="F60" s="21">
        <v>200</v>
      </c>
      <c r="G60" s="23"/>
      <c r="H60" s="23"/>
      <c r="I60" s="23"/>
      <c r="J60" s="63">
        <f t="shared" si="4"/>
        <v>200</v>
      </c>
      <c r="K60" s="77"/>
      <c r="L60" s="77"/>
      <c r="M60" s="77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1:58" s="18" customFormat="1" ht="13.5" customHeight="1">
      <c r="A61" s="55" t="s">
        <v>324</v>
      </c>
      <c r="B61" s="17" t="s">
        <v>326</v>
      </c>
      <c r="C61" s="26">
        <f t="shared" si="5"/>
        <v>10000</v>
      </c>
      <c r="D61" s="23"/>
      <c r="E61" s="23"/>
      <c r="F61" s="21">
        <v>10000</v>
      </c>
      <c r="G61" s="23"/>
      <c r="H61" s="23"/>
      <c r="I61" s="23"/>
      <c r="J61" s="63">
        <f t="shared" si="4"/>
        <v>10000</v>
      </c>
      <c r="K61" s="77"/>
      <c r="L61" s="77"/>
      <c r="M61" s="77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58" s="18" customFormat="1" ht="13.5" customHeight="1">
      <c r="A62" s="55" t="s">
        <v>296</v>
      </c>
      <c r="B62" s="17" t="s">
        <v>400</v>
      </c>
      <c r="C62" s="26">
        <f t="shared" si="5"/>
        <v>5647.8</v>
      </c>
      <c r="D62" s="23"/>
      <c r="E62" s="23"/>
      <c r="F62" s="21">
        <v>5647.8</v>
      </c>
      <c r="G62" s="118">
        <f>H62</f>
        <v>0</v>
      </c>
      <c r="H62" s="21"/>
      <c r="I62" s="23"/>
      <c r="J62" s="63">
        <f t="shared" si="4"/>
        <v>5647.8</v>
      </c>
      <c r="K62" s="77"/>
      <c r="L62" s="77"/>
      <c r="M62" s="77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58" s="18" customFormat="1" ht="15.75" customHeight="1">
      <c r="A63" s="60" t="s">
        <v>85</v>
      </c>
      <c r="B63" s="17" t="s">
        <v>276</v>
      </c>
      <c r="C63" s="26">
        <f t="shared" si="5"/>
        <v>290</v>
      </c>
      <c r="D63" s="23"/>
      <c r="E63" s="23"/>
      <c r="F63" s="21">
        <v>290</v>
      </c>
      <c r="G63" s="118">
        <f>H63</f>
        <v>0</v>
      </c>
      <c r="H63" s="23"/>
      <c r="I63" s="23"/>
      <c r="J63" s="63">
        <f t="shared" si="4"/>
        <v>290</v>
      </c>
      <c r="K63" s="77"/>
      <c r="L63" s="77"/>
      <c r="M63" s="77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58" s="18" customFormat="1" ht="12.75" customHeight="1">
      <c r="A64" s="55" t="s">
        <v>298</v>
      </c>
      <c r="B64" s="17" t="s">
        <v>318</v>
      </c>
      <c r="C64" s="26"/>
      <c r="D64" s="23"/>
      <c r="E64" s="23"/>
      <c r="F64" s="21"/>
      <c r="G64" s="21">
        <f>H64</f>
        <v>10000</v>
      </c>
      <c r="H64" s="21">
        <v>10000</v>
      </c>
      <c r="I64" s="23"/>
      <c r="J64" s="63">
        <f t="shared" si="4"/>
        <v>10000</v>
      </c>
      <c r="K64" s="77"/>
      <c r="L64" s="77"/>
      <c r="M64" s="77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1:58" s="18" customFormat="1" ht="25.5" customHeight="1">
      <c r="A65" s="55" t="s">
        <v>58</v>
      </c>
      <c r="B65" s="17" t="s">
        <v>397</v>
      </c>
      <c r="C65" s="26">
        <f t="shared" si="5"/>
        <v>45.1</v>
      </c>
      <c r="D65" s="21"/>
      <c r="E65" s="21"/>
      <c r="F65" s="21">
        <v>45.1</v>
      </c>
      <c r="G65" s="21">
        <v>83.5</v>
      </c>
      <c r="H65" s="23"/>
      <c r="I65" s="23"/>
      <c r="J65" s="63">
        <f t="shared" si="4"/>
        <v>128.6</v>
      </c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12" ht="23.25" customHeight="1">
      <c r="A66" s="55"/>
      <c r="B66" s="49" t="s">
        <v>3</v>
      </c>
      <c r="C66" s="41">
        <f>D66+E66+F66</f>
        <v>171279.4</v>
      </c>
      <c r="D66" s="41">
        <f>D70+D72+D73+D67+D68+D71</f>
        <v>35288.200000000004</v>
      </c>
      <c r="E66" s="41">
        <f>E70+E72+E73+E67+E68+E71</f>
        <v>5958.799999999999</v>
      </c>
      <c r="F66" s="41">
        <f>F70+F72+F73+F67+F68+F71+F74</f>
        <v>130032.4</v>
      </c>
      <c r="G66" s="41">
        <f>G70+G72+G73+G67+G68+G69</f>
        <v>2751.5</v>
      </c>
      <c r="H66" s="41">
        <f>H70+H72+H73+H67+H68</f>
        <v>0</v>
      </c>
      <c r="I66" s="41" t="e">
        <f>I70+I72+I73+#REF!+I67+I68+#REF!+#REF!</f>
        <v>#REF!</v>
      </c>
      <c r="J66" s="76">
        <f t="shared" si="4"/>
        <v>174030.9</v>
      </c>
      <c r="K66" s="37"/>
      <c r="L66" s="37"/>
    </row>
    <row r="67" spans="1:58" ht="12.75">
      <c r="A67" s="55" t="s">
        <v>52</v>
      </c>
      <c r="B67" s="17" t="s">
        <v>53</v>
      </c>
      <c r="C67" s="26">
        <f t="shared" si="5"/>
        <v>66280.4</v>
      </c>
      <c r="D67" s="26"/>
      <c r="E67" s="26"/>
      <c r="F67" s="26">
        <v>66280.4</v>
      </c>
      <c r="G67" s="26"/>
      <c r="H67" s="26"/>
      <c r="I67" s="21"/>
      <c r="J67" s="63">
        <f t="shared" si="4"/>
        <v>66280.4</v>
      </c>
      <c r="K67" s="78"/>
      <c r="L67" s="78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ht="24.75" customHeight="1">
      <c r="A68" s="55" t="s">
        <v>54</v>
      </c>
      <c r="B68" s="17" t="s">
        <v>273</v>
      </c>
      <c r="C68" s="26">
        <f t="shared" si="5"/>
        <v>28163.100000000002</v>
      </c>
      <c r="D68" s="26">
        <v>141.4</v>
      </c>
      <c r="E68" s="26">
        <v>12</v>
      </c>
      <c r="F68" s="26">
        <v>28009.7</v>
      </c>
      <c r="G68" s="26"/>
      <c r="H68" s="26"/>
      <c r="I68" s="21"/>
      <c r="J68" s="63">
        <f t="shared" si="4"/>
        <v>28163.100000000002</v>
      </c>
      <c r="K68" s="78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ht="12.75">
      <c r="A69" s="60" t="s">
        <v>264</v>
      </c>
      <c r="B69" s="17" t="s">
        <v>265</v>
      </c>
      <c r="C69" s="26"/>
      <c r="D69" s="26"/>
      <c r="E69" s="26"/>
      <c r="F69" s="26"/>
      <c r="G69" s="26">
        <v>197.8</v>
      </c>
      <c r="H69" s="26"/>
      <c r="I69" s="26"/>
      <c r="J69" s="56">
        <f t="shared" si="4"/>
        <v>197.8</v>
      </c>
      <c r="K69" s="7"/>
      <c r="L69" s="18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58" ht="38.25" customHeight="1">
      <c r="A70" s="55" t="s">
        <v>274</v>
      </c>
      <c r="B70" s="36" t="s">
        <v>275</v>
      </c>
      <c r="C70" s="26">
        <f aca="true" t="shared" si="6" ref="C70:C84">D70+E70+F70</f>
        <v>23342.300000000003</v>
      </c>
      <c r="D70" s="21">
        <v>11052.5</v>
      </c>
      <c r="E70" s="21">
        <v>2398.2</v>
      </c>
      <c r="F70" s="21">
        <v>9891.6</v>
      </c>
      <c r="G70" s="21">
        <v>1518.2</v>
      </c>
      <c r="H70" s="21"/>
      <c r="I70" s="21"/>
      <c r="J70" s="63">
        <f t="shared" si="4"/>
        <v>24860.500000000004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8" ht="12.75">
      <c r="A71" s="55" t="s">
        <v>85</v>
      </c>
      <c r="B71" s="36" t="s">
        <v>276</v>
      </c>
      <c r="C71" s="26">
        <f t="shared" si="6"/>
        <v>1704.6</v>
      </c>
      <c r="D71" s="21">
        <v>340.8</v>
      </c>
      <c r="E71" s="21">
        <v>4.5</v>
      </c>
      <c r="F71" s="21">
        <v>1359.3</v>
      </c>
      <c r="G71" s="21"/>
      <c r="H71" s="21"/>
      <c r="I71" s="21"/>
      <c r="J71" s="63">
        <f t="shared" si="4"/>
        <v>1704.6</v>
      </c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58" ht="45.75" customHeight="1">
      <c r="A72" s="60" t="s">
        <v>208</v>
      </c>
      <c r="B72" s="79" t="s">
        <v>86</v>
      </c>
      <c r="C72" s="26">
        <f t="shared" si="6"/>
        <v>47583</v>
      </c>
      <c r="D72" s="21">
        <v>23753.5</v>
      </c>
      <c r="E72" s="21">
        <v>3544.1</v>
      </c>
      <c r="F72" s="21">
        <v>20285.4</v>
      </c>
      <c r="G72" s="21">
        <v>1035.5</v>
      </c>
      <c r="H72" s="21"/>
      <c r="I72" s="21"/>
      <c r="J72" s="63">
        <f t="shared" si="4"/>
        <v>48618.5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</row>
    <row r="73" spans="1:58" ht="15" customHeight="1">
      <c r="A73" s="55" t="s">
        <v>176</v>
      </c>
      <c r="B73" s="17" t="s">
        <v>222</v>
      </c>
      <c r="C73" s="26">
        <f t="shared" si="6"/>
        <v>1423.4</v>
      </c>
      <c r="D73" s="21"/>
      <c r="E73" s="21"/>
      <c r="F73" s="21">
        <v>1423.4</v>
      </c>
      <c r="G73" s="21"/>
      <c r="H73" s="21"/>
      <c r="I73" s="21"/>
      <c r="J73" s="63">
        <f t="shared" si="4"/>
        <v>1423.4</v>
      </c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</row>
    <row r="74" spans="1:58" ht="24.75" customHeight="1">
      <c r="A74" s="55" t="s">
        <v>58</v>
      </c>
      <c r="B74" s="17" t="s">
        <v>397</v>
      </c>
      <c r="C74" s="26">
        <f t="shared" si="6"/>
        <v>2782.6</v>
      </c>
      <c r="D74" s="21"/>
      <c r="E74" s="21"/>
      <c r="F74" s="21">
        <f>90+2692.6</f>
        <v>2782.6</v>
      </c>
      <c r="G74" s="21"/>
      <c r="H74" s="21"/>
      <c r="I74" s="21"/>
      <c r="J74" s="63">
        <f t="shared" si="4"/>
        <v>2782.6</v>
      </c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58" s="18" customFormat="1" ht="25.5">
      <c r="A75" s="54"/>
      <c r="B75" s="49" t="s">
        <v>336</v>
      </c>
      <c r="C75" s="41">
        <f t="shared" si="6"/>
        <v>10077.4</v>
      </c>
      <c r="D75" s="41">
        <f>D78</f>
        <v>0</v>
      </c>
      <c r="E75" s="41">
        <f>E78</f>
        <v>0</v>
      </c>
      <c r="F75" s="41">
        <f>F78+F76+F77+F79</f>
        <v>10077.4</v>
      </c>
      <c r="G75" s="23"/>
      <c r="H75" s="23"/>
      <c r="I75" s="23"/>
      <c r="J75" s="76">
        <f t="shared" si="4"/>
        <v>10077.4</v>
      </c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1:58" s="18" customFormat="1" ht="12.75">
      <c r="A76" s="60" t="s">
        <v>301</v>
      </c>
      <c r="B76" s="231" t="s">
        <v>302</v>
      </c>
      <c r="C76" s="26">
        <f t="shared" si="6"/>
        <v>1047.5</v>
      </c>
      <c r="D76" s="41"/>
      <c r="E76" s="41"/>
      <c r="F76" s="26">
        <v>1047.5</v>
      </c>
      <c r="G76" s="23"/>
      <c r="H76" s="23"/>
      <c r="I76" s="23"/>
      <c r="J76" s="63">
        <f t="shared" si="4"/>
        <v>1047.5</v>
      </c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1:58" s="18" customFormat="1" ht="12.75">
      <c r="A77" s="60" t="s">
        <v>327</v>
      </c>
      <c r="B77" s="231" t="s">
        <v>328</v>
      </c>
      <c r="C77" s="26">
        <f t="shared" si="6"/>
        <v>4840.5</v>
      </c>
      <c r="D77" s="41"/>
      <c r="E77" s="41"/>
      <c r="F77" s="26">
        <f>4848-2762.5+2755</f>
        <v>4840.5</v>
      </c>
      <c r="G77" s="23"/>
      <c r="H77" s="23"/>
      <c r="I77" s="23"/>
      <c r="J77" s="63">
        <f t="shared" si="4"/>
        <v>4840.5</v>
      </c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58" ht="15.75" customHeight="1">
      <c r="A78" s="60" t="s">
        <v>177</v>
      </c>
      <c r="B78" s="17" t="s">
        <v>224</v>
      </c>
      <c r="C78" s="26">
        <f t="shared" si="6"/>
        <v>1276.9</v>
      </c>
      <c r="D78" s="21"/>
      <c r="E78" s="21"/>
      <c r="F78" s="21">
        <v>1276.9</v>
      </c>
      <c r="G78" s="21"/>
      <c r="H78" s="21"/>
      <c r="I78" s="21"/>
      <c r="J78" s="63">
        <f t="shared" si="4"/>
        <v>1276.9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</row>
    <row r="79" spans="1:58" ht="24.75" customHeight="1">
      <c r="A79" s="60" t="s">
        <v>89</v>
      </c>
      <c r="B79" s="20" t="s">
        <v>230</v>
      </c>
      <c r="C79" s="26">
        <f t="shared" si="6"/>
        <v>2912.5</v>
      </c>
      <c r="D79" s="21"/>
      <c r="E79" s="21"/>
      <c r="F79" s="21">
        <f>150+2762.5</f>
        <v>2912.5</v>
      </c>
      <c r="G79" s="21"/>
      <c r="H79" s="21"/>
      <c r="I79" s="21"/>
      <c r="J79" s="63">
        <f t="shared" si="4"/>
        <v>2912.5</v>
      </c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</row>
    <row r="80" spans="1:58" s="18" customFormat="1" ht="25.5">
      <c r="A80" s="59"/>
      <c r="B80" s="49" t="s">
        <v>207</v>
      </c>
      <c r="C80" s="41">
        <f t="shared" si="6"/>
        <v>64752.7</v>
      </c>
      <c r="D80" s="41">
        <f>D81+D82+D83</f>
        <v>15429</v>
      </c>
      <c r="E80" s="41">
        <f>E81+E82+E83</f>
        <v>1918.1</v>
      </c>
      <c r="F80" s="41">
        <f>F81+F82+F83</f>
        <v>47405.6</v>
      </c>
      <c r="G80" s="41">
        <f>G81+G82+G83</f>
        <v>49.2</v>
      </c>
      <c r="H80" s="41">
        <f>H81+H82+H83</f>
        <v>0</v>
      </c>
      <c r="I80" s="41" t="e">
        <f>I81+I82+I83+#REF!</f>
        <v>#REF!</v>
      </c>
      <c r="J80" s="76">
        <f t="shared" si="4"/>
        <v>64801.899999999994</v>
      </c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ht="48.75" customHeight="1">
      <c r="A81" s="55" t="s">
        <v>174</v>
      </c>
      <c r="B81" s="36" t="s">
        <v>245</v>
      </c>
      <c r="C81" s="26">
        <f t="shared" si="6"/>
        <v>45719.399999999994</v>
      </c>
      <c r="D81" s="21">
        <v>9767.4</v>
      </c>
      <c r="E81" s="21">
        <v>484.9</v>
      </c>
      <c r="F81" s="21">
        <v>35467.1</v>
      </c>
      <c r="G81" s="21">
        <v>29.2</v>
      </c>
      <c r="H81" s="21"/>
      <c r="I81" s="21"/>
      <c r="J81" s="63">
        <f t="shared" si="4"/>
        <v>45748.59999999999</v>
      </c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</row>
    <row r="82" spans="1:58" ht="18.75" customHeight="1">
      <c r="A82" s="55" t="s">
        <v>178</v>
      </c>
      <c r="B82" s="79" t="s">
        <v>87</v>
      </c>
      <c r="C82" s="26">
        <f t="shared" si="6"/>
        <v>16690.6</v>
      </c>
      <c r="D82" s="21">
        <v>4780.3</v>
      </c>
      <c r="E82" s="21">
        <v>1292.2</v>
      </c>
      <c r="F82" s="21">
        <f>10415.4+202.7</f>
        <v>10618.1</v>
      </c>
      <c r="G82" s="21"/>
      <c r="H82" s="21"/>
      <c r="I82" s="21"/>
      <c r="J82" s="63">
        <f t="shared" si="4"/>
        <v>16690.6</v>
      </c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</row>
    <row r="83" spans="1:58" ht="26.25" customHeight="1">
      <c r="A83" s="55" t="s">
        <v>88</v>
      </c>
      <c r="B83" s="61" t="s">
        <v>109</v>
      </c>
      <c r="C83" s="26">
        <f t="shared" si="6"/>
        <v>2342.7</v>
      </c>
      <c r="D83" s="21">
        <v>881.3</v>
      </c>
      <c r="E83" s="21">
        <v>141</v>
      </c>
      <c r="F83" s="21">
        <v>1320.4</v>
      </c>
      <c r="G83" s="21">
        <v>20</v>
      </c>
      <c r="H83" s="21"/>
      <c r="I83" s="21"/>
      <c r="J83" s="63">
        <f t="shared" si="4"/>
        <v>2362.7</v>
      </c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</row>
    <row r="84" spans="1:58" ht="24" customHeight="1">
      <c r="A84" s="55"/>
      <c r="B84" s="81" t="s">
        <v>237</v>
      </c>
      <c r="C84" s="41">
        <f t="shared" si="6"/>
        <v>8010</v>
      </c>
      <c r="D84" s="21"/>
      <c r="E84" s="21"/>
      <c r="F84" s="23">
        <f>F85+F89+F86</f>
        <v>8010</v>
      </c>
      <c r="G84" s="23">
        <f>G85+G88+G89+G87</f>
        <v>126203.5</v>
      </c>
      <c r="H84" s="23">
        <f>H88+H85+H88</f>
        <v>84454.7</v>
      </c>
      <c r="I84" s="23" t="e">
        <f>I85+#REF!+#REF!+#REF!+#REF!+#REF!+#REF!+#REF!</f>
        <v>#REF!</v>
      </c>
      <c r="J84" s="76">
        <f t="shared" si="4"/>
        <v>134213.5</v>
      </c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</row>
    <row r="85" spans="1:58" ht="12.75" customHeight="1">
      <c r="A85" s="55" t="s">
        <v>298</v>
      </c>
      <c r="B85" s="17" t="s">
        <v>318</v>
      </c>
      <c r="C85" s="26">
        <f>D85+E85+F85</f>
        <v>0</v>
      </c>
      <c r="D85" s="118"/>
      <c r="E85" s="118"/>
      <c r="F85" s="21"/>
      <c r="G85" s="21">
        <f>84454.7</f>
        <v>84454.7</v>
      </c>
      <c r="H85" s="21">
        <f>84454.7</f>
        <v>84454.7</v>
      </c>
      <c r="I85" s="21"/>
      <c r="J85" s="63">
        <f aca="true" t="shared" si="7" ref="J85:J103">G85+C85</f>
        <v>84454.7</v>
      </c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</row>
    <row r="86" spans="1:58" ht="52.5" customHeight="1">
      <c r="A86" s="55" t="s">
        <v>407</v>
      </c>
      <c r="B86" s="61" t="s">
        <v>345</v>
      </c>
      <c r="C86" s="26">
        <f>D86+E86+F86</f>
        <v>8010</v>
      </c>
      <c r="D86" s="118"/>
      <c r="E86" s="118"/>
      <c r="F86" s="21">
        <v>8010</v>
      </c>
      <c r="G86" s="21"/>
      <c r="H86" s="21"/>
      <c r="I86" s="21"/>
      <c r="J86" s="63">
        <f t="shared" si="7"/>
        <v>8010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</row>
    <row r="87" spans="1:58" ht="25.5" customHeight="1">
      <c r="A87" s="55" t="s">
        <v>58</v>
      </c>
      <c r="B87" s="17" t="s">
        <v>397</v>
      </c>
      <c r="C87" s="26"/>
      <c r="D87" s="118"/>
      <c r="E87" s="118"/>
      <c r="F87" s="21"/>
      <c r="G87" s="21">
        <f>21586.8+16162</f>
        <v>37748.8</v>
      </c>
      <c r="H87" s="21"/>
      <c r="I87" s="21"/>
      <c r="J87" s="63">
        <f t="shared" si="7"/>
        <v>37748.8</v>
      </c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</row>
    <row r="88" spans="1:58" ht="53.25" customHeight="1">
      <c r="A88" s="55" t="s">
        <v>255</v>
      </c>
      <c r="B88" s="20" t="s">
        <v>232</v>
      </c>
      <c r="C88" s="26"/>
      <c r="D88" s="21"/>
      <c r="E88" s="21"/>
      <c r="F88" s="21"/>
      <c r="G88" s="21">
        <v>4000</v>
      </c>
      <c r="H88" s="21"/>
      <c r="I88" s="21"/>
      <c r="J88" s="63">
        <f t="shared" si="7"/>
        <v>4000</v>
      </c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</row>
    <row r="89" spans="1:11" s="18" customFormat="1" ht="27" customHeight="1">
      <c r="A89" s="227" t="s">
        <v>293</v>
      </c>
      <c r="B89" s="20" t="s">
        <v>401</v>
      </c>
      <c r="C89" s="26">
        <f>D89+E89+F89</f>
        <v>0</v>
      </c>
      <c r="D89" s="26"/>
      <c r="E89" s="26"/>
      <c r="F89" s="26"/>
      <c r="G89" s="26">
        <f>11355.2+1592.3+543+182.9+3053.4-1592.3-15134.5</f>
        <v>0</v>
      </c>
      <c r="H89" s="26"/>
      <c r="I89" s="26"/>
      <c r="J89" s="63">
        <f t="shared" si="7"/>
        <v>0</v>
      </c>
      <c r="K89" s="19"/>
    </row>
    <row r="90" spans="1:58" ht="15" customHeight="1">
      <c r="A90" s="55"/>
      <c r="B90" s="81" t="s">
        <v>409</v>
      </c>
      <c r="C90" s="41">
        <f>D90+E90+F90</f>
        <v>2000</v>
      </c>
      <c r="D90" s="23"/>
      <c r="E90" s="23"/>
      <c r="F90" s="23">
        <f>F91</f>
        <v>2000</v>
      </c>
      <c r="G90" s="23"/>
      <c r="H90" s="23">
        <f>G90</f>
        <v>0</v>
      </c>
      <c r="I90" s="23" t="e">
        <f>#REF!</f>
        <v>#REF!</v>
      </c>
      <c r="J90" s="76">
        <f>C90+G90</f>
        <v>2000</v>
      </c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</row>
    <row r="91" spans="1:58" ht="18.75" customHeight="1">
      <c r="A91" s="60" t="s">
        <v>294</v>
      </c>
      <c r="B91" s="283" t="s">
        <v>340</v>
      </c>
      <c r="C91" s="26">
        <f>D91+E91+F91</f>
        <v>2000</v>
      </c>
      <c r="D91" s="118"/>
      <c r="E91" s="118"/>
      <c r="F91" s="21">
        <v>2000</v>
      </c>
      <c r="G91" s="21"/>
      <c r="H91" s="21"/>
      <c r="I91" s="21"/>
      <c r="J91" s="63">
        <f t="shared" si="7"/>
        <v>2000</v>
      </c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</row>
    <row r="92" spans="1:58" s="18" customFormat="1" ht="30" customHeight="1">
      <c r="A92" s="54"/>
      <c r="B92" s="50" t="s">
        <v>337</v>
      </c>
      <c r="C92" s="41">
        <f>D92+E92+F92</f>
        <v>4127.5</v>
      </c>
      <c r="D92" s="117">
        <f>D94</f>
        <v>0</v>
      </c>
      <c r="E92" s="117">
        <f>E94</f>
        <v>0</v>
      </c>
      <c r="F92" s="41">
        <f>F94+F95+F93</f>
        <v>4127.5</v>
      </c>
      <c r="G92" s="23"/>
      <c r="H92" s="23"/>
      <c r="I92" s="23"/>
      <c r="J92" s="76">
        <f>C92+G92</f>
        <v>4127.5</v>
      </c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1:58" s="18" customFormat="1" ht="51" customHeight="1">
      <c r="A93" s="55" t="s">
        <v>403</v>
      </c>
      <c r="B93" s="17" t="s">
        <v>404</v>
      </c>
      <c r="C93" s="26">
        <f aca="true" t="shared" si="8" ref="C93:C107">D93+E93+F93</f>
        <v>662.5</v>
      </c>
      <c r="D93" s="117"/>
      <c r="E93" s="117"/>
      <c r="F93" s="26">
        <v>662.5</v>
      </c>
      <c r="G93" s="23"/>
      <c r="H93" s="23"/>
      <c r="I93" s="23"/>
      <c r="J93" s="63">
        <f t="shared" si="7"/>
        <v>662.5</v>
      </c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1:58" ht="29.25" customHeight="1">
      <c r="A94" s="55" t="s">
        <v>295</v>
      </c>
      <c r="B94" s="228" t="s">
        <v>338</v>
      </c>
      <c r="C94" s="26">
        <f t="shared" si="8"/>
        <v>3097</v>
      </c>
      <c r="D94" s="118"/>
      <c r="E94" s="118"/>
      <c r="F94" s="21">
        <f>2759.5+1000-662.5</f>
        <v>3097</v>
      </c>
      <c r="G94" s="21"/>
      <c r="H94" s="21"/>
      <c r="I94" s="21"/>
      <c r="J94" s="63">
        <f t="shared" si="7"/>
        <v>3097</v>
      </c>
      <c r="K94" s="78"/>
      <c r="L94" s="120"/>
      <c r="M94" s="78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</row>
    <row r="95" spans="1:58" ht="24.75" customHeight="1">
      <c r="A95" s="55" t="s">
        <v>58</v>
      </c>
      <c r="B95" s="17" t="s">
        <v>397</v>
      </c>
      <c r="C95" s="26">
        <f t="shared" si="8"/>
        <v>368</v>
      </c>
      <c r="D95" s="118"/>
      <c r="E95" s="118"/>
      <c r="F95" s="21">
        <v>368</v>
      </c>
      <c r="G95" s="21"/>
      <c r="H95" s="21"/>
      <c r="I95" s="21"/>
      <c r="J95" s="63">
        <f t="shared" si="7"/>
        <v>368</v>
      </c>
      <c r="K95" s="78"/>
      <c r="L95" s="120"/>
      <c r="M95" s="78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</row>
    <row r="96" spans="1:58" ht="20.25" customHeight="1">
      <c r="A96" s="55"/>
      <c r="B96" s="50" t="s">
        <v>339</v>
      </c>
      <c r="C96" s="41">
        <f t="shared" si="8"/>
        <v>1492.6</v>
      </c>
      <c r="D96" s="118"/>
      <c r="E96" s="118"/>
      <c r="F96" s="23">
        <f>F97</f>
        <v>1492.6</v>
      </c>
      <c r="G96" s="21"/>
      <c r="H96" s="21"/>
      <c r="I96" s="21"/>
      <c r="J96" s="76">
        <f>C96+G96</f>
        <v>1492.6</v>
      </c>
      <c r="K96" s="78"/>
      <c r="L96" s="120"/>
      <c r="M96" s="78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</row>
    <row r="97" spans="1:58" ht="18" customHeight="1">
      <c r="A97" s="60" t="s">
        <v>333</v>
      </c>
      <c r="B97" s="17" t="s">
        <v>334</v>
      </c>
      <c r="C97" s="26">
        <f t="shared" si="8"/>
        <v>1492.6</v>
      </c>
      <c r="D97" s="118"/>
      <c r="E97" s="118"/>
      <c r="F97" s="21">
        <v>1492.6</v>
      </c>
      <c r="G97" s="21"/>
      <c r="H97" s="21"/>
      <c r="I97" s="21"/>
      <c r="J97" s="63">
        <f t="shared" si="7"/>
        <v>1492.6</v>
      </c>
      <c r="K97" s="78"/>
      <c r="L97" s="120"/>
      <c r="M97" s="78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</row>
    <row r="98" spans="1:58" ht="24.75" customHeight="1">
      <c r="A98" s="60"/>
      <c r="B98" s="50" t="s">
        <v>341</v>
      </c>
      <c r="C98" s="41">
        <f t="shared" si="8"/>
        <v>2500</v>
      </c>
      <c r="D98" s="118"/>
      <c r="E98" s="118"/>
      <c r="F98" s="23">
        <f>F99</f>
        <v>2500</v>
      </c>
      <c r="G98" s="21"/>
      <c r="H98" s="21"/>
      <c r="I98" s="21"/>
      <c r="J98" s="76">
        <f>C98+G98</f>
        <v>2500</v>
      </c>
      <c r="K98" s="78"/>
      <c r="L98" s="120"/>
      <c r="M98" s="78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</row>
    <row r="99" spans="1:58" ht="27" customHeight="1">
      <c r="A99" s="60" t="s">
        <v>89</v>
      </c>
      <c r="B99" s="20" t="s">
        <v>230</v>
      </c>
      <c r="C99" s="26">
        <f t="shared" si="8"/>
        <v>2500</v>
      </c>
      <c r="D99" s="118"/>
      <c r="E99" s="118"/>
      <c r="F99" s="21">
        <v>2500</v>
      </c>
      <c r="G99" s="21"/>
      <c r="H99" s="21"/>
      <c r="I99" s="21"/>
      <c r="J99" s="63">
        <f t="shared" si="7"/>
        <v>2500</v>
      </c>
      <c r="K99" s="78"/>
      <c r="L99" s="120"/>
      <c r="M99" s="78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</row>
    <row r="100" spans="1:58" ht="27" customHeight="1">
      <c r="A100" s="60"/>
      <c r="B100" s="50" t="s">
        <v>342</v>
      </c>
      <c r="C100" s="41">
        <f t="shared" si="8"/>
        <v>710</v>
      </c>
      <c r="D100" s="118"/>
      <c r="E100" s="118"/>
      <c r="F100" s="23">
        <f>F101</f>
        <v>710</v>
      </c>
      <c r="G100" s="21"/>
      <c r="H100" s="21"/>
      <c r="I100" s="21"/>
      <c r="J100" s="76">
        <f>C100+G100</f>
        <v>710</v>
      </c>
      <c r="K100" s="78"/>
      <c r="L100" s="120"/>
      <c r="M100" s="78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</row>
    <row r="101" spans="1:58" ht="27" customHeight="1">
      <c r="A101" s="60" t="s">
        <v>331</v>
      </c>
      <c r="B101" s="61" t="s">
        <v>332</v>
      </c>
      <c r="C101" s="26">
        <f t="shared" si="8"/>
        <v>710</v>
      </c>
      <c r="D101" s="118"/>
      <c r="E101" s="118"/>
      <c r="F101" s="21">
        <v>710</v>
      </c>
      <c r="G101" s="21"/>
      <c r="H101" s="21"/>
      <c r="I101" s="21"/>
      <c r="J101" s="63">
        <f t="shared" si="7"/>
        <v>710</v>
      </c>
      <c r="K101" s="78"/>
      <c r="L101" s="120"/>
      <c r="M101" s="78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</row>
    <row r="102" spans="1:58" ht="20.25" customHeight="1">
      <c r="A102" s="55"/>
      <c r="B102" s="49" t="s">
        <v>314</v>
      </c>
      <c r="C102" s="41">
        <f>D102+E102+F102</f>
        <v>299.8</v>
      </c>
      <c r="D102" s="118"/>
      <c r="E102" s="118"/>
      <c r="F102" s="23">
        <f>F103</f>
        <v>299.8</v>
      </c>
      <c r="G102" s="21"/>
      <c r="H102" s="21"/>
      <c r="I102" s="21"/>
      <c r="J102" s="76">
        <f>C102+G102</f>
        <v>299.8</v>
      </c>
      <c r="K102" s="78"/>
      <c r="L102" s="120"/>
      <c r="M102" s="78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</row>
    <row r="103" spans="1:58" ht="27" customHeight="1">
      <c r="A103" s="55" t="s">
        <v>58</v>
      </c>
      <c r="B103" s="17" t="s">
        <v>397</v>
      </c>
      <c r="C103" s="26">
        <f t="shared" si="8"/>
        <v>299.8</v>
      </c>
      <c r="D103" s="118"/>
      <c r="E103" s="118"/>
      <c r="F103" s="21">
        <v>299.8</v>
      </c>
      <c r="G103" s="21"/>
      <c r="H103" s="21"/>
      <c r="I103" s="21"/>
      <c r="J103" s="63">
        <f t="shared" si="7"/>
        <v>299.8</v>
      </c>
      <c r="K103" s="78"/>
      <c r="L103" s="120"/>
      <c r="M103" s="78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</row>
    <row r="104" spans="1:58" s="18" customFormat="1" ht="16.5" customHeight="1">
      <c r="A104" s="54"/>
      <c r="B104" s="49" t="s">
        <v>181</v>
      </c>
      <c r="C104" s="41">
        <f t="shared" si="8"/>
        <v>2782915.7</v>
      </c>
      <c r="D104" s="41">
        <f>D105+D107+D108+D109+D111+D112+D113+D114+D115+D116+D123+D122+D117+D121+D118</f>
        <v>0</v>
      </c>
      <c r="E104" s="41">
        <f>E105+E107+E108+E109+E111+E112+E113+E114+E115+E116+E123+E122+E117+E121+E118</f>
        <v>0</v>
      </c>
      <c r="F104" s="41">
        <f>F105+F107+F108+F109+F111+F112+F113+F114+F115+F116+F123+F122+F117+F121+F118+F124+F106</f>
        <v>2782915.7</v>
      </c>
      <c r="G104" s="41">
        <f>G105+G107+G108+G109+G110+G111+G112+G113+G114+G115+G116+G117+G118+G121+G122+G123+G124</f>
        <v>639587.3</v>
      </c>
      <c r="H104" s="41">
        <f>H105+H107+H108+H109+H111+H112+H113+H114+H115+H116+H123+H122+H117+H121+H118</f>
        <v>0</v>
      </c>
      <c r="I104" s="41" t="e">
        <f>I105+#REF!+#REF!+#REF!+#REF!+#REF!+I107+I108+I109+I111+I112+I113+I114+I115+I116+#REF!+I123+#REF!+#REF!+#REF!+#REF!+I122+#REF!+#REF!+I117+I121+I118</f>
        <v>#REF!</v>
      </c>
      <c r="J104" s="76">
        <f>C104+G104</f>
        <v>3422503</v>
      </c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1:58" ht="27" customHeight="1">
      <c r="A105" s="55" t="s">
        <v>179</v>
      </c>
      <c r="B105" s="17" t="s">
        <v>229</v>
      </c>
      <c r="C105" s="26">
        <f t="shared" si="8"/>
        <v>0</v>
      </c>
      <c r="D105" s="21"/>
      <c r="E105" s="21"/>
      <c r="F105" s="21"/>
      <c r="G105" s="21">
        <v>44099</v>
      </c>
      <c r="H105" s="21"/>
      <c r="I105" s="21"/>
      <c r="J105" s="63">
        <f aca="true" t="shared" si="9" ref="J105:J113">C105+G105</f>
        <v>44099</v>
      </c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</row>
    <row r="106" spans="1:58" ht="27" customHeight="1">
      <c r="A106" s="60" t="s">
        <v>89</v>
      </c>
      <c r="B106" s="20" t="s">
        <v>230</v>
      </c>
      <c r="C106" s="26">
        <f t="shared" si="8"/>
        <v>3972.4</v>
      </c>
      <c r="D106" s="21"/>
      <c r="E106" s="21"/>
      <c r="F106" s="21">
        <f>5000-1000-27.6</f>
        <v>3972.4</v>
      </c>
      <c r="G106" s="21"/>
      <c r="H106" s="21"/>
      <c r="I106" s="21"/>
      <c r="J106" s="63">
        <f t="shared" si="9"/>
        <v>3972.4</v>
      </c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</row>
    <row r="107" spans="1:58" ht="63.75">
      <c r="A107" s="55" t="s">
        <v>279</v>
      </c>
      <c r="B107" s="20" t="s">
        <v>232</v>
      </c>
      <c r="C107" s="124">
        <f t="shared" si="8"/>
        <v>0</v>
      </c>
      <c r="D107" s="21"/>
      <c r="E107" s="21"/>
      <c r="F107" s="21"/>
      <c r="G107" s="21">
        <v>146319.4</v>
      </c>
      <c r="H107" s="21"/>
      <c r="I107" s="21"/>
      <c r="J107" s="63">
        <f t="shared" si="9"/>
        <v>146319.4</v>
      </c>
      <c r="K107" s="27"/>
      <c r="L107" s="78" t="e">
        <f>#REF!-#REF!</f>
        <v>#REF!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</row>
    <row r="108" spans="1:58" ht="17.25" customHeight="1">
      <c r="A108" s="60" t="s">
        <v>278</v>
      </c>
      <c r="B108" s="36" t="s">
        <v>234</v>
      </c>
      <c r="C108" s="26">
        <f aca="true" t="shared" si="10" ref="C108:C124">D108+E108+F108</f>
        <v>10000</v>
      </c>
      <c r="D108" s="21"/>
      <c r="E108" s="21"/>
      <c r="F108" s="21">
        <v>10000</v>
      </c>
      <c r="G108" s="21"/>
      <c r="H108" s="21"/>
      <c r="I108" s="21"/>
      <c r="J108" s="63">
        <f t="shared" si="9"/>
        <v>10000</v>
      </c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</row>
    <row r="109" spans="1:58" ht="24.75" customHeight="1">
      <c r="A109" s="60" t="s">
        <v>180</v>
      </c>
      <c r="B109" s="20" t="s">
        <v>239</v>
      </c>
      <c r="C109" s="26">
        <f t="shared" si="10"/>
        <v>77639.3</v>
      </c>
      <c r="D109" s="21"/>
      <c r="E109" s="21"/>
      <c r="F109" s="26">
        <f>75454.7+3912.3-11727.7+10000</f>
        <v>77639.3</v>
      </c>
      <c r="G109" s="21"/>
      <c r="H109" s="21"/>
      <c r="I109" s="21"/>
      <c r="J109" s="63">
        <f t="shared" si="9"/>
        <v>77639.3</v>
      </c>
      <c r="K109" s="78"/>
      <c r="L109" s="78"/>
      <c r="M109" s="78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</row>
    <row r="110" spans="1:58" ht="24.75" customHeight="1">
      <c r="A110" s="55" t="s">
        <v>58</v>
      </c>
      <c r="B110" s="17" t="s">
        <v>397</v>
      </c>
      <c r="C110" s="26"/>
      <c r="D110" s="21"/>
      <c r="E110" s="21"/>
      <c r="F110" s="26"/>
      <c r="G110" s="21">
        <v>565.9</v>
      </c>
      <c r="H110" s="21"/>
      <c r="I110" s="21"/>
      <c r="J110" s="63">
        <f t="shared" si="9"/>
        <v>565.9</v>
      </c>
      <c r="K110" s="78"/>
      <c r="L110" s="78"/>
      <c r="M110" s="78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</row>
    <row r="111" spans="1:12" s="18" customFormat="1" ht="25.5">
      <c r="A111" s="60" t="s">
        <v>266</v>
      </c>
      <c r="B111" s="42" t="s">
        <v>267</v>
      </c>
      <c r="C111" s="26">
        <f t="shared" si="10"/>
        <v>46445.6</v>
      </c>
      <c r="D111" s="41"/>
      <c r="E111" s="41"/>
      <c r="F111" s="26">
        <v>46445.6</v>
      </c>
      <c r="G111" s="41"/>
      <c r="H111" s="41"/>
      <c r="I111" s="41"/>
      <c r="J111" s="56">
        <f t="shared" si="9"/>
        <v>46445.6</v>
      </c>
      <c r="K111" s="24"/>
      <c r="L111" s="25"/>
    </row>
    <row r="112" spans="1:58" ht="49.5" customHeight="1">
      <c r="A112" s="60" t="s">
        <v>95</v>
      </c>
      <c r="B112" s="64" t="s">
        <v>92</v>
      </c>
      <c r="C112" s="26">
        <f t="shared" si="10"/>
        <v>18557.2</v>
      </c>
      <c r="D112" s="21"/>
      <c r="E112" s="21"/>
      <c r="F112" s="26">
        <v>18557.2</v>
      </c>
      <c r="G112" s="21"/>
      <c r="H112" s="21"/>
      <c r="I112" s="21"/>
      <c r="J112" s="63">
        <f t="shared" si="9"/>
        <v>18557.2</v>
      </c>
      <c r="K112" s="78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</row>
    <row r="113" spans="1:58" ht="57" customHeight="1">
      <c r="A113" s="60" t="s">
        <v>4</v>
      </c>
      <c r="B113" s="64" t="s">
        <v>2</v>
      </c>
      <c r="C113" s="26">
        <f t="shared" si="10"/>
        <v>2017876.8</v>
      </c>
      <c r="D113" s="41"/>
      <c r="E113" s="41"/>
      <c r="F113" s="43">
        <v>2017876.8</v>
      </c>
      <c r="G113" s="41"/>
      <c r="H113" s="41"/>
      <c r="I113" s="41"/>
      <c r="J113" s="56">
        <f t="shared" si="9"/>
        <v>2017876.8</v>
      </c>
      <c r="K113" s="7"/>
      <c r="L113" s="1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 spans="1:12" s="18" customFormat="1" ht="66" customHeight="1">
      <c r="A114" s="60" t="s">
        <v>60</v>
      </c>
      <c r="B114" s="137" t="s">
        <v>81</v>
      </c>
      <c r="C114" s="26">
        <f t="shared" si="10"/>
        <v>282034.7</v>
      </c>
      <c r="D114" s="80"/>
      <c r="E114" s="80"/>
      <c r="F114" s="131">
        <v>282034.7</v>
      </c>
      <c r="G114" s="43">
        <v>435642.5</v>
      </c>
      <c r="H114" s="155"/>
      <c r="I114" s="155"/>
      <c r="J114" s="156">
        <f>G114+C114</f>
        <v>717677.2</v>
      </c>
      <c r="K114" s="24"/>
      <c r="L114" s="25"/>
    </row>
    <row r="115" spans="1:12" s="18" customFormat="1" ht="110.25" customHeight="1">
      <c r="A115" s="60" t="s">
        <v>61</v>
      </c>
      <c r="B115" s="284" t="s">
        <v>396</v>
      </c>
      <c r="C115" s="26">
        <f t="shared" si="10"/>
        <v>179074.7</v>
      </c>
      <c r="D115" s="26"/>
      <c r="E115" s="26"/>
      <c r="F115" s="43">
        <v>179074.7</v>
      </c>
      <c r="G115" s="26"/>
      <c r="H115" s="26"/>
      <c r="I115" s="26"/>
      <c r="J115" s="63">
        <f>G115+C115</f>
        <v>179074.7</v>
      </c>
      <c r="K115" s="24"/>
      <c r="L115" s="25"/>
    </row>
    <row r="116" spans="1:12" s="18" customFormat="1" ht="63.75" customHeight="1">
      <c r="A116" s="109" t="s">
        <v>62</v>
      </c>
      <c r="B116" s="61" t="s">
        <v>5</v>
      </c>
      <c r="C116" s="26">
        <f t="shared" si="10"/>
        <v>124139.9</v>
      </c>
      <c r="D116" s="108"/>
      <c r="E116" s="108"/>
      <c r="F116" s="131">
        <v>124139.9</v>
      </c>
      <c r="G116" s="108"/>
      <c r="H116" s="108"/>
      <c r="I116" s="108"/>
      <c r="J116" s="111">
        <f aca="true" t="shared" si="11" ref="J116:J124">C116+G116</f>
        <v>124139.9</v>
      </c>
      <c r="K116" s="24"/>
      <c r="L116" s="25"/>
    </row>
    <row r="117" spans="1:11" s="18" customFormat="1" ht="92.25" customHeight="1">
      <c r="A117" s="109" t="s">
        <v>313</v>
      </c>
      <c r="B117" s="223" t="s">
        <v>290</v>
      </c>
      <c r="C117" s="26">
        <f t="shared" si="10"/>
        <v>0</v>
      </c>
      <c r="D117" s="26"/>
      <c r="E117" s="26"/>
      <c r="F117" s="108"/>
      <c r="G117" s="43">
        <f>2628.83+6423.27</f>
        <v>9052.1</v>
      </c>
      <c r="H117" s="43"/>
      <c r="I117" s="26"/>
      <c r="J117" s="56">
        <f t="shared" si="11"/>
        <v>9052.1</v>
      </c>
      <c r="K117" s="19"/>
    </row>
    <row r="118" spans="1:11" s="18" customFormat="1" ht="41.25" customHeight="1">
      <c r="A118" s="361" t="s">
        <v>59</v>
      </c>
      <c r="B118" s="61" t="s">
        <v>108</v>
      </c>
      <c r="C118" s="26">
        <f t="shared" si="10"/>
        <v>0</v>
      </c>
      <c r="D118" s="26"/>
      <c r="E118" s="26"/>
      <c r="F118" s="26">
        <f>F120</f>
        <v>0</v>
      </c>
      <c r="G118" s="26">
        <f>G120+G119</f>
        <v>3908.4</v>
      </c>
      <c r="H118" s="26"/>
      <c r="I118" s="26"/>
      <c r="J118" s="56">
        <f t="shared" si="11"/>
        <v>3908.4</v>
      </c>
      <c r="K118" s="19"/>
    </row>
    <row r="119" spans="1:11" s="18" customFormat="1" ht="17.25" customHeight="1">
      <c r="A119" s="362"/>
      <c r="B119" s="61" t="s">
        <v>288</v>
      </c>
      <c r="C119" s="26"/>
      <c r="D119" s="26"/>
      <c r="E119" s="26"/>
      <c r="F119" s="26"/>
      <c r="G119" s="26">
        <v>1000</v>
      </c>
      <c r="H119" s="26"/>
      <c r="I119" s="26"/>
      <c r="J119" s="56">
        <f t="shared" si="11"/>
        <v>1000</v>
      </c>
      <c r="K119" s="19"/>
    </row>
    <row r="120" spans="1:11" s="18" customFormat="1" ht="27" customHeight="1">
      <c r="A120" s="362"/>
      <c r="B120" s="61" t="s">
        <v>335</v>
      </c>
      <c r="C120" s="124">
        <f t="shared" si="10"/>
        <v>0</v>
      </c>
      <c r="D120" s="26"/>
      <c r="E120" s="26"/>
      <c r="F120" s="26"/>
      <c r="G120" s="26">
        <v>2908.4</v>
      </c>
      <c r="H120" s="26"/>
      <c r="I120" s="26"/>
      <c r="J120" s="63">
        <f t="shared" si="11"/>
        <v>2908.4</v>
      </c>
      <c r="K120" s="19"/>
    </row>
    <row r="121" spans="1:11" s="18" customFormat="1" ht="75.75" customHeight="1">
      <c r="A121" s="60" t="s">
        <v>268</v>
      </c>
      <c r="B121" s="61" t="s">
        <v>258</v>
      </c>
      <c r="C121" s="26">
        <f t="shared" si="10"/>
        <v>9365.7</v>
      </c>
      <c r="D121" s="26"/>
      <c r="E121" s="26"/>
      <c r="F121" s="43">
        <v>9365.7</v>
      </c>
      <c r="G121" s="26"/>
      <c r="H121" s="26"/>
      <c r="I121" s="26"/>
      <c r="J121" s="56">
        <f t="shared" si="11"/>
        <v>9365.7</v>
      </c>
      <c r="K121" s="19"/>
    </row>
    <row r="122" spans="1:12" s="18" customFormat="1" ht="15.75" customHeight="1">
      <c r="A122" s="60" t="s">
        <v>63</v>
      </c>
      <c r="B122" s="61" t="s">
        <v>36</v>
      </c>
      <c r="C122" s="26">
        <f t="shared" si="10"/>
        <v>11680.599999999999</v>
      </c>
      <c r="D122" s="26"/>
      <c r="E122" s="26"/>
      <c r="F122" s="43">
        <f>9678.8+1.8+2000</f>
        <v>11680.599999999999</v>
      </c>
      <c r="G122" s="26"/>
      <c r="H122" s="26"/>
      <c r="I122" s="26"/>
      <c r="J122" s="63">
        <f t="shared" si="11"/>
        <v>11680.599999999999</v>
      </c>
      <c r="K122" s="24"/>
      <c r="L122" s="164"/>
    </row>
    <row r="123" spans="1:11" s="18" customFormat="1" ht="51.75" customHeight="1">
      <c r="A123" s="60" t="s">
        <v>212</v>
      </c>
      <c r="B123" s="61" t="s">
        <v>70</v>
      </c>
      <c r="C123" s="26">
        <f t="shared" si="10"/>
        <v>1625</v>
      </c>
      <c r="D123" s="26"/>
      <c r="E123" s="26"/>
      <c r="F123" s="43">
        <v>1625</v>
      </c>
      <c r="G123" s="26"/>
      <c r="H123" s="26"/>
      <c r="I123" s="26"/>
      <c r="J123" s="63">
        <f t="shared" si="11"/>
        <v>1625</v>
      </c>
      <c r="K123" s="24"/>
    </row>
    <row r="124" spans="1:11" s="18" customFormat="1" ht="41.25" customHeight="1">
      <c r="A124" s="222" t="s">
        <v>322</v>
      </c>
      <c r="B124" s="61" t="s">
        <v>321</v>
      </c>
      <c r="C124" s="26">
        <f t="shared" si="10"/>
        <v>503.8</v>
      </c>
      <c r="D124" s="168"/>
      <c r="E124" s="168"/>
      <c r="F124" s="168">
        <v>503.8</v>
      </c>
      <c r="G124" s="168"/>
      <c r="H124" s="168"/>
      <c r="I124" s="168"/>
      <c r="J124" s="63">
        <f t="shared" si="11"/>
        <v>503.8</v>
      </c>
      <c r="K124" s="24"/>
    </row>
    <row r="125" spans="1:58" s="18" customFormat="1" ht="21" customHeight="1" thickBot="1">
      <c r="A125" s="363" t="s">
        <v>240</v>
      </c>
      <c r="B125" s="364"/>
      <c r="C125" s="82">
        <f>C15+C28+C34+C40+C50+C66+C80+C84+C104+C75+C90+C92+C59+C102+C96+C98+C100</f>
        <v>4914803.500000001</v>
      </c>
      <c r="D125" s="82">
        <f>D15+D28+D34+D40+D50+D66+D80+D84+D104+D75+D90+D92+D59</f>
        <v>743357</v>
      </c>
      <c r="E125" s="82">
        <f>E15+E28+E34+E40+E50+E66+E80+E84+E104+E75+E90+E92+E59</f>
        <v>187068.30000000002</v>
      </c>
      <c r="F125" s="82">
        <f>F15+F28+F34+F40+F50+F66+F80+F84+F104+F75+F90+F92+F59+F102+F96+F98+F100</f>
        <v>3984378.1999999997</v>
      </c>
      <c r="G125" s="82">
        <f>G15+G28+G34+G40+G50+G66+G80+G84+G104+G75+G90+G92+G59</f>
        <v>860062.3</v>
      </c>
      <c r="H125" s="82">
        <f>H15+H28+H34+H40+H50+H66+H80+H84+H104+H75+H90+H92+H59</f>
        <v>99586</v>
      </c>
      <c r="I125" s="82" t="e">
        <f>I15+I28+I34+I40+I50+I66+I80+I84+I104+I75+#REF!+I90+#REF!+I92+#REF!+I59</f>
        <v>#REF!</v>
      </c>
      <c r="J125" s="82">
        <f>J15+J28+J34+J40+J50+J66+J80+J84+J104+J75+J90+J92+J59+J102+J100+J98+J96</f>
        <v>5774865.8</v>
      </c>
      <c r="K125" s="77"/>
      <c r="L125" s="77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1:58" s="7" customFormat="1" ht="12.75">
      <c r="A126" s="83"/>
      <c r="B126" s="84"/>
      <c r="C126" s="132">
        <f>'№2'!C92</f>
        <v>4914803.500000001</v>
      </c>
      <c r="D126" s="132">
        <f>'№2'!D92</f>
        <v>743357</v>
      </c>
      <c r="E126" s="132">
        <f>'№2'!E92</f>
        <v>187068.3</v>
      </c>
      <c r="F126" s="132">
        <f>'№2'!F92</f>
        <v>3984378.2</v>
      </c>
      <c r="G126" s="132">
        <f>'№2'!G92</f>
        <v>860062.3</v>
      </c>
      <c r="H126" s="132">
        <f>'№2'!H92</f>
        <v>99586</v>
      </c>
      <c r="I126" s="132" t="e">
        <f>'№2'!I92</f>
        <v>#REF!</v>
      </c>
      <c r="J126" s="132">
        <f>'№2'!J92</f>
        <v>5774865.8</v>
      </c>
      <c r="K126" s="169" t="s">
        <v>277</v>
      </c>
      <c r="L126" s="122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</row>
    <row r="127" spans="3:12" ht="12.75">
      <c r="C127" s="164">
        <f>C126-C125</f>
        <v>0</v>
      </c>
      <c r="D127" s="164">
        <f aca="true" t="shared" si="12" ref="D127:I127">D126-D125</f>
        <v>0</v>
      </c>
      <c r="E127" s="164">
        <f t="shared" si="12"/>
        <v>0</v>
      </c>
      <c r="F127" s="164">
        <f t="shared" si="12"/>
        <v>0</v>
      </c>
      <c r="G127" s="164">
        <f t="shared" si="12"/>
        <v>0</v>
      </c>
      <c r="H127" s="164">
        <f t="shared" si="12"/>
        <v>0</v>
      </c>
      <c r="I127" s="164" t="e">
        <f t="shared" si="12"/>
        <v>#REF!</v>
      </c>
      <c r="J127" s="164">
        <f>J126-J125</f>
        <v>0</v>
      </c>
      <c r="K127" s="170"/>
      <c r="L127" s="123"/>
    </row>
    <row r="128" spans="3:11" ht="12.75">
      <c r="C128" s="28"/>
      <c r="D128" s="28"/>
      <c r="E128" s="28"/>
      <c r="F128" s="28"/>
      <c r="G128" s="28"/>
      <c r="H128" s="28"/>
      <c r="I128" s="28"/>
      <c r="J128" s="28"/>
      <c r="K128" s="3"/>
    </row>
    <row r="129" spans="2:10" ht="12.75">
      <c r="B129" s="116"/>
      <c r="C129" s="28"/>
      <c r="D129" s="28"/>
      <c r="E129" s="28"/>
      <c r="F129" s="28"/>
      <c r="G129" s="28"/>
      <c r="H129" s="28"/>
      <c r="I129" s="28"/>
      <c r="J129" s="28"/>
    </row>
    <row r="130" spans="3:10" ht="15">
      <c r="C130" s="230"/>
      <c r="D130" s="229"/>
      <c r="E130" s="229"/>
      <c r="F130" s="229"/>
      <c r="G130" s="229"/>
      <c r="H130" s="229"/>
      <c r="I130" s="229"/>
      <c r="J130" s="229"/>
    </row>
    <row r="131" spans="3:10" ht="12.75">
      <c r="C131" s="39"/>
      <c r="D131" s="39"/>
      <c r="E131" s="39"/>
      <c r="F131" s="39"/>
      <c r="G131" s="39"/>
      <c r="H131" s="39"/>
      <c r="I131" s="39"/>
      <c r="J131" s="39"/>
    </row>
    <row r="132" spans="3:10" ht="12.75">
      <c r="C132" s="37"/>
      <c r="D132" s="37"/>
      <c r="E132" s="37"/>
      <c r="F132" s="37"/>
      <c r="G132" s="37"/>
      <c r="H132" s="37"/>
      <c r="I132" s="37"/>
      <c r="J132" s="37"/>
    </row>
    <row r="133" spans="2:11" ht="12.75">
      <c r="B133" s="116"/>
      <c r="C133" s="74"/>
      <c r="D133" s="74"/>
      <c r="E133" s="74"/>
      <c r="F133" s="74"/>
      <c r="G133" s="74"/>
      <c r="H133" s="74"/>
      <c r="I133" s="74"/>
      <c r="J133" s="74"/>
      <c r="K133" s="78"/>
    </row>
    <row r="134" spans="3:11" ht="12.75">
      <c r="C134" s="78"/>
      <c r="D134" s="28"/>
      <c r="E134" s="28"/>
      <c r="F134" s="28"/>
      <c r="G134" s="28"/>
      <c r="H134" s="28"/>
      <c r="I134" s="28"/>
      <c r="J134" s="28"/>
      <c r="K134" s="78"/>
    </row>
    <row r="135" spans="3:10" ht="12.75">
      <c r="C135" s="37"/>
      <c r="D135" s="37"/>
      <c r="E135" s="37"/>
      <c r="F135" s="37"/>
      <c r="G135" s="37"/>
      <c r="H135" s="37"/>
      <c r="I135" s="37"/>
      <c r="J135" s="37"/>
    </row>
    <row r="136" ht="12.75">
      <c r="C136" s="31"/>
    </row>
    <row r="137" spans="2:10" ht="12.75">
      <c r="B137" s="116"/>
      <c r="C137" s="37"/>
      <c r="F137" s="29"/>
      <c r="J137" s="28"/>
    </row>
    <row r="138" ht="12.75">
      <c r="C138" s="37"/>
    </row>
    <row r="139" ht="12.75">
      <c r="C139" s="31"/>
    </row>
    <row r="140" ht="12.75">
      <c r="C140" s="31"/>
    </row>
    <row r="141" ht="12.75">
      <c r="C141" s="31"/>
    </row>
    <row r="142" ht="12.75">
      <c r="C142" s="31"/>
    </row>
    <row r="143" ht="12.75">
      <c r="C143" s="31"/>
    </row>
    <row r="144" ht="12.75">
      <c r="C144" s="31"/>
    </row>
    <row r="145" ht="12.75">
      <c r="C145" s="31"/>
    </row>
    <row r="146" ht="12.75">
      <c r="C146" s="31"/>
    </row>
    <row r="147" ht="12.75">
      <c r="C147" s="31"/>
    </row>
    <row r="148" ht="12.75">
      <c r="C148" s="31"/>
    </row>
    <row r="149" ht="12.75">
      <c r="C149" s="31"/>
    </row>
    <row r="150" ht="12.75">
      <c r="C150" s="31"/>
    </row>
    <row r="151" ht="12.75">
      <c r="C151" s="31"/>
    </row>
    <row r="152" ht="12.75">
      <c r="C152" s="31"/>
    </row>
    <row r="153" ht="12.75">
      <c r="C153" s="31"/>
    </row>
    <row r="154" ht="12.75">
      <c r="C154" s="31"/>
    </row>
    <row r="155" ht="12.75">
      <c r="C155" s="31"/>
    </row>
    <row r="156" ht="12.75">
      <c r="C156" s="31"/>
    </row>
    <row r="157" ht="12.75">
      <c r="C157" s="31"/>
    </row>
    <row r="158" ht="12.75">
      <c r="C158" s="31"/>
    </row>
    <row r="159" ht="12.75">
      <c r="C159" s="31"/>
    </row>
    <row r="160" ht="12.75">
      <c r="C160" s="31"/>
    </row>
    <row r="161" ht="12.75">
      <c r="C161" s="31"/>
    </row>
    <row r="162" ht="12.75">
      <c r="C162" s="31"/>
    </row>
    <row r="163" ht="12.75">
      <c r="C163" s="31"/>
    </row>
    <row r="164" ht="12.75">
      <c r="C164" s="31"/>
    </row>
    <row r="165" ht="12.75">
      <c r="C165" s="31"/>
    </row>
    <row r="166" ht="12.75">
      <c r="C166" s="31"/>
    </row>
    <row r="167" ht="12.75">
      <c r="C167" s="31"/>
    </row>
    <row r="168" ht="12.75">
      <c r="C168" s="31"/>
    </row>
    <row r="169" ht="12.75">
      <c r="C169" s="31"/>
    </row>
    <row r="170" ht="12.75">
      <c r="C170" s="31"/>
    </row>
    <row r="171" ht="12.75">
      <c r="C171" s="31"/>
    </row>
    <row r="172" ht="12.75">
      <c r="C172" s="31"/>
    </row>
    <row r="173" ht="12.75">
      <c r="C173" s="31"/>
    </row>
    <row r="174" ht="12.75">
      <c r="C174" s="31"/>
    </row>
    <row r="175" ht="12.75">
      <c r="C175" s="31"/>
    </row>
    <row r="176" ht="12.75">
      <c r="C176" s="31"/>
    </row>
    <row r="177" ht="12.75">
      <c r="C177" s="31"/>
    </row>
    <row r="178" ht="12.75">
      <c r="C178" s="31"/>
    </row>
    <row r="179" ht="12.75">
      <c r="C179" s="31"/>
    </row>
    <row r="180" ht="12.75">
      <c r="C180" s="31"/>
    </row>
    <row r="181" ht="12.75">
      <c r="C181" s="31"/>
    </row>
    <row r="182" ht="12.75">
      <c r="C182" s="31"/>
    </row>
    <row r="183" ht="12.75">
      <c r="C183" s="31"/>
    </row>
    <row r="184" ht="12.75">
      <c r="C184" s="31"/>
    </row>
    <row r="185" ht="12.75">
      <c r="C185" s="31"/>
    </row>
    <row r="186" ht="12.75">
      <c r="C186" s="31"/>
    </row>
    <row r="187" ht="12.75">
      <c r="C187" s="31"/>
    </row>
    <row r="188" ht="12.75">
      <c r="C188" s="31"/>
    </row>
    <row r="189" ht="12.75">
      <c r="C189" s="31"/>
    </row>
    <row r="190" ht="12.75">
      <c r="C190" s="31"/>
    </row>
    <row r="191" ht="12.75">
      <c r="C191" s="31"/>
    </row>
    <row r="192" ht="12.75">
      <c r="C192" s="31"/>
    </row>
    <row r="193" ht="12.75">
      <c r="C193" s="31"/>
    </row>
    <row r="194" ht="12.75">
      <c r="C194" s="31"/>
    </row>
    <row r="195" ht="12.75">
      <c r="C195" s="31"/>
    </row>
    <row r="196" ht="12.75">
      <c r="C196" s="31"/>
    </row>
    <row r="197" ht="12.75">
      <c r="C197" s="31"/>
    </row>
    <row r="198" ht="12.75">
      <c r="C198" s="31"/>
    </row>
    <row r="199" ht="12.75">
      <c r="C199" s="31"/>
    </row>
    <row r="200" ht="12.75">
      <c r="C200" s="31"/>
    </row>
    <row r="201" ht="12.75">
      <c r="C201" s="31"/>
    </row>
    <row r="202" ht="12.75">
      <c r="C202" s="31"/>
    </row>
    <row r="203" ht="12.75">
      <c r="C203" s="31"/>
    </row>
    <row r="204" ht="12.75">
      <c r="C204" s="31"/>
    </row>
    <row r="205" ht="12.75">
      <c r="C205" s="31"/>
    </row>
    <row r="206" ht="12.75">
      <c r="C206" s="31"/>
    </row>
    <row r="207" ht="12.75">
      <c r="C207" s="31"/>
    </row>
    <row r="208" ht="12.75">
      <c r="C208" s="31"/>
    </row>
    <row r="209" ht="12.75">
      <c r="C209" s="31"/>
    </row>
    <row r="210" ht="12.75">
      <c r="C210" s="31"/>
    </row>
    <row r="211" ht="12.75">
      <c r="C211" s="31"/>
    </row>
    <row r="212" ht="12.75">
      <c r="C212" s="31"/>
    </row>
    <row r="213" ht="12.75">
      <c r="C213" s="31"/>
    </row>
    <row r="214" ht="12.75">
      <c r="C214" s="31"/>
    </row>
    <row r="215" ht="12.75">
      <c r="C215" s="31"/>
    </row>
    <row r="216" ht="12.75">
      <c r="C216" s="31"/>
    </row>
    <row r="217" ht="12.75">
      <c r="C217" s="31"/>
    </row>
    <row r="218" ht="12.75">
      <c r="C218" s="31"/>
    </row>
    <row r="219" ht="12.75">
      <c r="C219" s="31"/>
    </row>
    <row r="220" ht="12.75">
      <c r="C220" s="31"/>
    </row>
    <row r="221" ht="12.75">
      <c r="C221" s="31"/>
    </row>
    <row r="222" ht="12.75">
      <c r="C222" s="31"/>
    </row>
    <row r="223" ht="12.75">
      <c r="C223" s="31"/>
    </row>
    <row r="224" ht="12.75">
      <c r="C224" s="31"/>
    </row>
    <row r="225" ht="12.75">
      <c r="C225" s="31"/>
    </row>
    <row r="226" ht="12.75">
      <c r="C226" s="31"/>
    </row>
    <row r="227" ht="12.75">
      <c r="C227" s="31"/>
    </row>
    <row r="228" ht="12.75">
      <c r="C228" s="31"/>
    </row>
    <row r="229" ht="12.75">
      <c r="C229" s="31"/>
    </row>
    <row r="230" ht="12.75">
      <c r="C230" s="31"/>
    </row>
    <row r="231" ht="12.75">
      <c r="C231" s="31"/>
    </row>
    <row r="232" ht="12.75">
      <c r="C232" s="31"/>
    </row>
    <row r="233" ht="12.75">
      <c r="C233" s="31"/>
    </row>
    <row r="234" ht="12.75">
      <c r="C234" s="31"/>
    </row>
    <row r="235" ht="12.75">
      <c r="C235" s="31"/>
    </row>
    <row r="236" ht="12.75">
      <c r="C236" s="31"/>
    </row>
    <row r="237" ht="12.75">
      <c r="C237" s="31"/>
    </row>
    <row r="238" ht="12.75">
      <c r="C238" s="31"/>
    </row>
    <row r="239" ht="12.75">
      <c r="C239" s="31"/>
    </row>
    <row r="240" ht="12.75">
      <c r="C240" s="31"/>
    </row>
    <row r="241" ht="12.75">
      <c r="C241" s="31"/>
    </row>
    <row r="242" ht="12.75">
      <c r="C242" s="31"/>
    </row>
    <row r="243" ht="12.75">
      <c r="C243" s="31"/>
    </row>
    <row r="244" ht="12.75">
      <c r="C244" s="31"/>
    </row>
    <row r="245" ht="12.75">
      <c r="C245" s="31"/>
    </row>
    <row r="246" ht="12.75">
      <c r="C246" s="31"/>
    </row>
    <row r="247" ht="12.75">
      <c r="C247" s="31"/>
    </row>
    <row r="248" ht="12.75">
      <c r="C248" s="31"/>
    </row>
    <row r="249" ht="12.75">
      <c r="C249" s="31"/>
    </row>
    <row r="250" ht="12.75">
      <c r="C250" s="31"/>
    </row>
    <row r="251" ht="12.75">
      <c r="C251" s="31"/>
    </row>
    <row r="252" ht="12.75">
      <c r="C252" s="31"/>
    </row>
  </sheetData>
  <autoFilter ref="A14:BF127"/>
  <mergeCells count="15">
    <mergeCell ref="G12:G13"/>
    <mergeCell ref="D12:F12"/>
    <mergeCell ref="A11:A13"/>
    <mergeCell ref="B11:B13"/>
    <mergeCell ref="C11:F11"/>
    <mergeCell ref="A118:A120"/>
    <mergeCell ref="A125:B125"/>
    <mergeCell ref="F1:J1"/>
    <mergeCell ref="G11:I11"/>
    <mergeCell ref="A9:J9"/>
    <mergeCell ref="G10:J10"/>
    <mergeCell ref="A8:J8"/>
    <mergeCell ref="I12:I13"/>
    <mergeCell ref="J11:J13"/>
    <mergeCell ref="C12:C13"/>
  </mergeCells>
  <printOptions/>
  <pageMargins left="0.984251968503937" right="0.5905511811023623" top="0.7874015748031497" bottom="0.7874015748031497" header="0" footer="0"/>
  <pageSetup fitToHeight="4" horizontalDpi="600" verticalDpi="600" orientation="portrait" paperSize="9" scale="59" r:id="rId1"/>
  <rowBreaks count="1" manualBreakCount="1">
    <brk id="9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185"/>
  <sheetViews>
    <sheetView view="pageBreakPreview" zoomScale="60" zoomScaleNormal="75" workbookViewId="0" topLeftCell="A1">
      <pane xSplit="1" ySplit="9" topLeftCell="M2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V29" sqref="V29"/>
    </sheetView>
  </sheetViews>
  <sheetFormatPr defaultColWidth="9.00390625" defaultRowHeight="12.75"/>
  <cols>
    <col min="1" max="1" width="28.00390625" style="3" customWidth="1"/>
    <col min="2" max="2" width="19.00390625" style="3" customWidth="1"/>
    <col min="3" max="3" width="21.375" style="3" customWidth="1"/>
    <col min="4" max="4" width="19.75390625" style="3" customWidth="1"/>
    <col min="5" max="5" width="35.25390625" style="3" customWidth="1"/>
    <col min="6" max="6" width="18.375" style="3" customWidth="1"/>
    <col min="7" max="7" width="14.875" style="3" customWidth="1"/>
    <col min="8" max="8" width="13.625" style="3" customWidth="1"/>
    <col min="9" max="9" width="12.75390625" style="3" customWidth="1"/>
    <col min="10" max="10" width="28.125" style="3" customWidth="1"/>
    <col min="11" max="11" width="27.25390625" style="3" customWidth="1"/>
    <col min="12" max="12" width="19.25390625" style="3" customWidth="1"/>
    <col min="13" max="14" width="15.75390625" style="3" customWidth="1"/>
    <col min="15" max="15" width="22.00390625" style="3" customWidth="1"/>
    <col min="16" max="16" width="36.25390625" style="3" customWidth="1"/>
    <col min="17" max="17" width="19.25390625" style="3" customWidth="1"/>
    <col min="18" max="18" width="14.75390625" style="176" customWidth="1"/>
    <col min="19" max="19" width="14.125" style="3" customWidth="1"/>
    <col min="20" max="20" width="7.875" style="3" customWidth="1"/>
    <col min="21" max="21" width="15.375" style="3" customWidth="1"/>
    <col min="22" max="16384" width="7.875" style="3" customWidth="1"/>
  </cols>
  <sheetData>
    <row r="1" ht="15.75">
      <c r="L1" s="232" t="s">
        <v>111</v>
      </c>
    </row>
    <row r="2" ht="15.75">
      <c r="L2" s="194" t="s">
        <v>186</v>
      </c>
    </row>
    <row r="3" ht="9" customHeight="1">
      <c r="L3" s="171"/>
    </row>
    <row r="4" spans="2:17" ht="42.75" customHeight="1">
      <c r="B4" s="386" t="s">
        <v>307</v>
      </c>
      <c r="C4" s="386"/>
      <c r="D4" s="386"/>
      <c r="E4" s="386"/>
      <c r="F4" s="386"/>
      <c r="G4" s="386"/>
      <c r="H4" s="386"/>
      <c r="I4" s="386"/>
      <c r="J4" s="386"/>
      <c r="K4" s="386"/>
      <c r="L4" s="177"/>
      <c r="M4" s="178"/>
      <c r="N4" s="178"/>
      <c r="O4" s="178"/>
      <c r="P4" s="178"/>
      <c r="Q4" s="178"/>
    </row>
    <row r="5" spans="1:18" ht="12.75" customHeight="1" thickBot="1">
      <c r="A5" s="179"/>
      <c r="B5" s="179"/>
      <c r="C5" s="179"/>
      <c r="D5" s="179"/>
      <c r="E5" s="179"/>
      <c r="F5" s="179"/>
      <c r="G5" s="179"/>
      <c r="H5" s="179"/>
      <c r="I5" s="179"/>
      <c r="K5" s="180"/>
      <c r="M5" s="179" t="s">
        <v>37</v>
      </c>
      <c r="N5" s="179"/>
      <c r="O5" s="179"/>
      <c r="P5" s="179"/>
      <c r="Q5" s="179"/>
      <c r="R5" s="180" t="s">
        <v>37</v>
      </c>
    </row>
    <row r="6" spans="1:18" s="235" customFormat="1" ht="21" customHeight="1" thickBot="1">
      <c r="A6" s="383" t="s">
        <v>112</v>
      </c>
      <c r="B6" s="387" t="s">
        <v>113</v>
      </c>
      <c r="C6" s="388"/>
      <c r="D6" s="388"/>
      <c r="E6" s="388"/>
      <c r="F6" s="388"/>
      <c r="G6" s="388"/>
      <c r="H6" s="388"/>
      <c r="I6" s="388"/>
      <c r="J6" s="388"/>
      <c r="K6" s="389"/>
      <c r="L6" s="389"/>
      <c r="M6" s="389"/>
      <c r="N6" s="294"/>
      <c r="O6" s="390" t="s">
        <v>114</v>
      </c>
      <c r="P6" s="391"/>
      <c r="Q6" s="375" t="s">
        <v>68</v>
      </c>
      <c r="R6" s="380" t="s">
        <v>115</v>
      </c>
    </row>
    <row r="7" spans="1:18" s="235" customFormat="1" ht="19.5" customHeight="1" thickBot="1">
      <c r="A7" s="384"/>
      <c r="B7" s="379" t="s">
        <v>116</v>
      </c>
      <c r="C7" s="379" t="s">
        <v>64</v>
      </c>
      <c r="D7" s="375" t="s">
        <v>117</v>
      </c>
      <c r="E7" s="379" t="s">
        <v>118</v>
      </c>
      <c r="F7" s="392" t="s">
        <v>195</v>
      </c>
      <c r="G7" s="393"/>
      <c r="H7" s="393"/>
      <c r="I7" s="393"/>
      <c r="J7" s="394"/>
      <c r="K7" s="379" t="s">
        <v>65</v>
      </c>
      <c r="L7" s="377" t="s">
        <v>319</v>
      </c>
      <c r="M7" s="379" t="s">
        <v>67</v>
      </c>
      <c r="N7" s="375" t="s">
        <v>389</v>
      </c>
      <c r="O7" s="379" t="s">
        <v>64</v>
      </c>
      <c r="P7" s="379" t="s">
        <v>66</v>
      </c>
      <c r="Q7" s="379"/>
      <c r="R7" s="381"/>
    </row>
    <row r="8" spans="1:18" s="235" customFormat="1" ht="81.75" customHeight="1" thickBot="1">
      <c r="A8" s="384"/>
      <c r="B8" s="379"/>
      <c r="C8" s="379"/>
      <c r="D8" s="379"/>
      <c r="E8" s="379"/>
      <c r="F8" s="375" t="s">
        <v>119</v>
      </c>
      <c r="G8" s="395" t="s">
        <v>353</v>
      </c>
      <c r="H8" s="435"/>
      <c r="I8" s="375" t="s">
        <v>120</v>
      </c>
      <c r="J8" s="375" t="s">
        <v>390</v>
      </c>
      <c r="K8" s="379"/>
      <c r="L8" s="377"/>
      <c r="M8" s="379"/>
      <c r="N8" s="379"/>
      <c r="O8" s="379"/>
      <c r="P8" s="379"/>
      <c r="Q8" s="379"/>
      <c r="R8" s="381"/>
    </row>
    <row r="9" spans="1:18" s="235" customFormat="1" ht="157.5" customHeight="1" thickBot="1">
      <c r="A9" s="385"/>
      <c r="B9" s="376"/>
      <c r="C9" s="376"/>
      <c r="D9" s="376"/>
      <c r="E9" s="376"/>
      <c r="F9" s="376"/>
      <c r="G9" s="234" t="s">
        <v>354</v>
      </c>
      <c r="H9" s="234" t="s">
        <v>355</v>
      </c>
      <c r="I9" s="376"/>
      <c r="J9" s="376"/>
      <c r="K9" s="376"/>
      <c r="L9" s="378"/>
      <c r="M9" s="376"/>
      <c r="N9" s="376"/>
      <c r="O9" s="376"/>
      <c r="P9" s="376"/>
      <c r="Q9" s="376"/>
      <c r="R9" s="382"/>
    </row>
    <row r="10" spans="1:20" s="181" customFormat="1" ht="15" customHeight="1">
      <c r="A10" s="182" t="s">
        <v>121</v>
      </c>
      <c r="B10" s="183">
        <v>15128.9</v>
      </c>
      <c r="C10" s="184">
        <v>2151.2</v>
      </c>
      <c r="D10" s="220">
        <v>363.7</v>
      </c>
      <c r="E10" s="221">
        <v>1889.7</v>
      </c>
      <c r="F10" s="220">
        <v>1655.7</v>
      </c>
      <c r="G10" s="185"/>
      <c r="H10" s="220"/>
      <c r="I10" s="220">
        <v>204.8</v>
      </c>
      <c r="J10" s="221">
        <v>29.2</v>
      </c>
      <c r="K10" s="186">
        <v>119.6</v>
      </c>
      <c r="L10" s="186"/>
      <c r="M10" s="185"/>
      <c r="N10" s="185"/>
      <c r="O10" s="224">
        <v>413</v>
      </c>
      <c r="P10" s="315">
        <v>2.257</v>
      </c>
      <c r="Q10" s="185"/>
      <c r="R10" s="187">
        <f>B10+C10+D10+E10+K10+L10+M10+O10+P10+Q10</f>
        <v>20068.357</v>
      </c>
      <c r="T10" s="219"/>
    </row>
    <row r="11" spans="1:37" s="194" customFormat="1" ht="15.75" customHeight="1">
      <c r="A11" s="188" t="s">
        <v>122</v>
      </c>
      <c r="B11" s="183">
        <v>55997.1</v>
      </c>
      <c r="C11" s="189">
        <v>7911.3</v>
      </c>
      <c r="D11" s="190">
        <v>348.1</v>
      </c>
      <c r="E11" s="184">
        <v>6136.8</v>
      </c>
      <c r="F11" s="184">
        <v>5246.4</v>
      </c>
      <c r="G11" s="184"/>
      <c r="H11" s="184"/>
      <c r="I11" s="191">
        <v>824.2</v>
      </c>
      <c r="J11" s="184">
        <v>66.2</v>
      </c>
      <c r="K11" s="192">
        <v>190.4</v>
      </c>
      <c r="L11" s="192"/>
      <c r="M11" s="184"/>
      <c r="N11" s="184"/>
      <c r="O11" s="184">
        <v>16866.7</v>
      </c>
      <c r="P11" s="311">
        <v>3.253</v>
      </c>
      <c r="Q11" s="184"/>
      <c r="R11" s="187">
        <f aca="true" t="shared" si="0" ref="R11:R54">B11+C11+D11+E11+K11+L11+M11+O11+P11+Q11</f>
        <v>87453.65299999999</v>
      </c>
      <c r="S11" s="193"/>
      <c r="T11" s="219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</row>
    <row r="12" spans="1:37" s="194" customFormat="1" ht="15.75" customHeight="1">
      <c r="A12" s="188" t="s">
        <v>123</v>
      </c>
      <c r="B12" s="183">
        <v>142308.6</v>
      </c>
      <c r="C12" s="184">
        <v>25729.2</v>
      </c>
      <c r="D12" s="190">
        <v>12578.2</v>
      </c>
      <c r="E12" s="184">
        <v>7059</v>
      </c>
      <c r="F12" s="184">
        <v>5704.8</v>
      </c>
      <c r="G12" s="184"/>
      <c r="H12" s="184"/>
      <c r="I12" s="191">
        <v>996.5</v>
      </c>
      <c r="J12" s="184">
        <v>357.7</v>
      </c>
      <c r="K12" s="190">
        <v>484.8</v>
      </c>
      <c r="L12" s="192"/>
      <c r="M12" s="184"/>
      <c r="N12" s="184"/>
      <c r="O12" s="184">
        <v>44827.8</v>
      </c>
      <c r="P12" s="311">
        <v>537.5</v>
      </c>
      <c r="Q12" s="184"/>
      <c r="R12" s="187">
        <f t="shared" si="0"/>
        <v>233525.10000000003</v>
      </c>
      <c r="S12" s="193"/>
      <c r="T12" s="219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</row>
    <row r="13" spans="1:37" s="194" customFormat="1" ht="15.75" customHeight="1">
      <c r="A13" s="188" t="s">
        <v>124</v>
      </c>
      <c r="B13" s="183">
        <v>22295.2</v>
      </c>
      <c r="C13" s="184">
        <v>8032</v>
      </c>
      <c r="D13" s="190">
        <v>821.7</v>
      </c>
      <c r="E13" s="184">
        <v>750.7</v>
      </c>
      <c r="F13" s="184">
        <v>84.9</v>
      </c>
      <c r="G13" s="184">
        <v>269.4</v>
      </c>
      <c r="H13" s="184">
        <v>135.7</v>
      </c>
      <c r="I13" s="191">
        <v>230.7</v>
      </c>
      <c r="J13" s="184">
        <v>30</v>
      </c>
      <c r="K13" s="190">
        <v>89.7</v>
      </c>
      <c r="L13" s="192"/>
      <c r="M13" s="184"/>
      <c r="N13" s="184"/>
      <c r="O13" s="184">
        <v>1403.4</v>
      </c>
      <c r="P13" s="311">
        <v>4.53</v>
      </c>
      <c r="Q13" s="184"/>
      <c r="R13" s="187">
        <f t="shared" si="0"/>
        <v>33397.23</v>
      </c>
      <c r="S13" s="193"/>
      <c r="T13" s="219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</row>
    <row r="14" spans="1:37" s="194" customFormat="1" ht="15.75" customHeight="1">
      <c r="A14" s="188" t="s">
        <v>125</v>
      </c>
      <c r="B14" s="183">
        <v>36418.9</v>
      </c>
      <c r="C14" s="184">
        <v>4126.2</v>
      </c>
      <c r="D14" s="190">
        <v>3831.4</v>
      </c>
      <c r="E14" s="184">
        <v>1503.8</v>
      </c>
      <c r="F14" s="184">
        <v>1235</v>
      </c>
      <c r="G14" s="184"/>
      <c r="H14" s="184"/>
      <c r="I14" s="191">
        <v>190</v>
      </c>
      <c r="J14" s="184">
        <v>78.8</v>
      </c>
      <c r="K14" s="190">
        <v>109.6</v>
      </c>
      <c r="L14" s="192"/>
      <c r="M14" s="184"/>
      <c r="N14" s="184"/>
      <c r="O14" s="184">
        <v>8220.4</v>
      </c>
      <c r="P14" s="311">
        <v>43.405</v>
      </c>
      <c r="Q14" s="184"/>
      <c r="R14" s="187">
        <f t="shared" si="0"/>
        <v>54253.705</v>
      </c>
      <c r="S14" s="193"/>
      <c r="T14" s="219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</row>
    <row r="15" spans="1:37" s="194" customFormat="1" ht="15.75" customHeight="1">
      <c r="A15" s="188" t="s">
        <v>126</v>
      </c>
      <c r="B15" s="183">
        <v>24728.2</v>
      </c>
      <c r="C15" s="184">
        <v>2787.3</v>
      </c>
      <c r="D15" s="190">
        <v>3904.5</v>
      </c>
      <c r="E15" s="184">
        <v>463.4</v>
      </c>
      <c r="F15" s="184">
        <v>204</v>
      </c>
      <c r="G15" s="184"/>
      <c r="H15" s="184"/>
      <c r="I15" s="191">
        <v>123.8</v>
      </c>
      <c r="J15" s="184">
        <v>135.6</v>
      </c>
      <c r="K15" s="190">
        <v>122</v>
      </c>
      <c r="L15" s="192"/>
      <c r="M15" s="184"/>
      <c r="N15" s="184"/>
      <c r="O15" s="184">
        <v>3340.7</v>
      </c>
      <c r="P15" s="311">
        <v>8.291</v>
      </c>
      <c r="Q15" s="184"/>
      <c r="R15" s="187">
        <f t="shared" si="0"/>
        <v>35354.390999999996</v>
      </c>
      <c r="S15" s="193"/>
      <c r="T15" s="219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</row>
    <row r="16" spans="1:37" s="194" customFormat="1" ht="15.75" customHeight="1">
      <c r="A16" s="188" t="s">
        <v>127</v>
      </c>
      <c r="B16" s="183">
        <v>30541.5</v>
      </c>
      <c r="C16" s="184">
        <v>6800.5</v>
      </c>
      <c r="D16" s="190">
        <v>5116.9</v>
      </c>
      <c r="E16" s="184">
        <v>553</v>
      </c>
      <c r="F16" s="184">
        <v>304.2</v>
      </c>
      <c r="G16" s="184"/>
      <c r="H16" s="184"/>
      <c r="I16" s="191">
        <v>188.9</v>
      </c>
      <c r="J16" s="184">
        <v>59.9</v>
      </c>
      <c r="K16" s="190">
        <v>132.5</v>
      </c>
      <c r="L16" s="192"/>
      <c r="M16" s="184"/>
      <c r="N16" s="184"/>
      <c r="O16" s="184">
        <v>0</v>
      </c>
      <c r="P16" s="311">
        <v>13.876</v>
      </c>
      <c r="Q16" s="184"/>
      <c r="R16" s="187">
        <f t="shared" si="0"/>
        <v>43158.276</v>
      </c>
      <c r="S16" s="193"/>
      <c r="T16" s="219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</row>
    <row r="17" spans="1:37" s="194" customFormat="1" ht="15.75" customHeight="1">
      <c r="A17" s="188" t="s">
        <v>128</v>
      </c>
      <c r="B17" s="183">
        <v>11523</v>
      </c>
      <c r="C17" s="184">
        <v>2344.3</v>
      </c>
      <c r="D17" s="190">
        <v>68.9</v>
      </c>
      <c r="E17" s="184">
        <v>370.1</v>
      </c>
      <c r="F17" s="184">
        <v>169.6</v>
      </c>
      <c r="G17" s="184"/>
      <c r="H17" s="184"/>
      <c r="I17" s="191">
        <v>139.7</v>
      </c>
      <c r="J17" s="184">
        <v>60.8</v>
      </c>
      <c r="K17" s="190">
        <v>240</v>
      </c>
      <c r="L17" s="192"/>
      <c r="M17" s="184"/>
      <c r="N17" s="184"/>
      <c r="O17" s="184">
        <v>4231</v>
      </c>
      <c r="P17" s="311">
        <v>144.2</v>
      </c>
      <c r="Q17" s="184"/>
      <c r="R17" s="187">
        <f t="shared" si="0"/>
        <v>18921.5</v>
      </c>
      <c r="S17" s="193"/>
      <c r="T17" s="219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</row>
    <row r="18" spans="1:37" s="194" customFormat="1" ht="15.75" customHeight="1">
      <c r="A18" s="195" t="s">
        <v>129</v>
      </c>
      <c r="B18" s="183">
        <v>376760.1</v>
      </c>
      <c r="C18" s="184">
        <v>59797.6</v>
      </c>
      <c r="D18" s="190">
        <v>31787.3</v>
      </c>
      <c r="E18" s="184">
        <v>75184.9</v>
      </c>
      <c r="F18" s="184">
        <v>69803</v>
      </c>
      <c r="G18" s="184"/>
      <c r="H18" s="184"/>
      <c r="I18" s="191">
        <v>4377.6</v>
      </c>
      <c r="J18" s="184">
        <v>1004.3</v>
      </c>
      <c r="K18" s="192">
        <v>1205.2</v>
      </c>
      <c r="L18" s="192"/>
      <c r="M18" s="184">
        <v>1525</v>
      </c>
      <c r="N18" s="184"/>
      <c r="O18" s="184">
        <v>73683.5</v>
      </c>
      <c r="P18" s="311">
        <v>489.064</v>
      </c>
      <c r="Q18" s="184"/>
      <c r="R18" s="187">
        <f t="shared" si="0"/>
        <v>620432.6639999999</v>
      </c>
      <c r="S18" s="193"/>
      <c r="T18" s="219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</row>
    <row r="19" spans="1:37" s="194" customFormat="1" ht="15.75" customHeight="1">
      <c r="A19" s="188" t="s">
        <v>130</v>
      </c>
      <c r="B19" s="183">
        <v>36071.2</v>
      </c>
      <c r="C19" s="184">
        <v>4471.5</v>
      </c>
      <c r="D19" s="190">
        <v>203.3</v>
      </c>
      <c r="E19" s="184">
        <v>3684.2</v>
      </c>
      <c r="F19" s="184">
        <v>3210.8</v>
      </c>
      <c r="G19" s="184"/>
      <c r="H19" s="184"/>
      <c r="I19" s="191">
        <v>325.2</v>
      </c>
      <c r="J19" s="184">
        <v>148.2</v>
      </c>
      <c r="K19" s="192">
        <v>395.2</v>
      </c>
      <c r="L19" s="192"/>
      <c r="M19" s="184"/>
      <c r="N19" s="184"/>
      <c r="O19" s="184">
        <v>15148</v>
      </c>
      <c r="P19" s="311">
        <v>5.512</v>
      </c>
      <c r="Q19" s="184"/>
      <c r="R19" s="187">
        <f t="shared" si="0"/>
        <v>59978.912</v>
      </c>
      <c r="S19" s="193"/>
      <c r="T19" s="219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</row>
    <row r="20" spans="1:37" s="194" customFormat="1" ht="15.75" customHeight="1">
      <c r="A20" s="188" t="s">
        <v>131</v>
      </c>
      <c r="B20" s="183">
        <v>67282.2</v>
      </c>
      <c r="C20" s="184">
        <v>9217.2</v>
      </c>
      <c r="D20" s="190">
        <v>7329.7</v>
      </c>
      <c r="E20" s="184">
        <v>7455.1</v>
      </c>
      <c r="F20" s="184">
        <v>6666.4</v>
      </c>
      <c r="G20" s="184"/>
      <c r="H20" s="184"/>
      <c r="I20" s="191">
        <v>577.1</v>
      </c>
      <c r="J20" s="184">
        <v>211.6</v>
      </c>
      <c r="K20" s="192">
        <v>359.7</v>
      </c>
      <c r="L20" s="192"/>
      <c r="M20" s="184"/>
      <c r="N20" s="184"/>
      <c r="O20" s="184">
        <v>21634.6</v>
      </c>
      <c r="P20" s="311">
        <v>4.835</v>
      </c>
      <c r="Q20" s="184"/>
      <c r="R20" s="187">
        <f t="shared" si="0"/>
        <v>113283.335</v>
      </c>
      <c r="S20" s="193"/>
      <c r="T20" s="219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</row>
    <row r="21" spans="1:37" s="194" customFormat="1" ht="15.75" customHeight="1">
      <c r="A21" s="188" t="s">
        <v>132</v>
      </c>
      <c r="B21" s="183">
        <v>6438</v>
      </c>
      <c r="C21" s="184">
        <v>686.7</v>
      </c>
      <c r="D21" s="190">
        <v>2145.5</v>
      </c>
      <c r="E21" s="184">
        <v>103.7</v>
      </c>
      <c r="F21" s="184">
        <v>54.2</v>
      </c>
      <c r="G21" s="184"/>
      <c r="H21" s="184"/>
      <c r="I21" s="191">
        <v>30.2</v>
      </c>
      <c r="J21" s="184">
        <v>19.3</v>
      </c>
      <c r="K21" s="192">
        <v>103.6</v>
      </c>
      <c r="L21" s="192"/>
      <c r="M21" s="184"/>
      <c r="N21" s="184"/>
      <c r="O21" s="184">
        <v>1218.8</v>
      </c>
      <c r="P21" s="311">
        <v>4.485</v>
      </c>
      <c r="Q21" s="184"/>
      <c r="R21" s="187">
        <f t="shared" si="0"/>
        <v>10700.785000000002</v>
      </c>
      <c r="S21" s="193"/>
      <c r="T21" s="219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</row>
    <row r="22" spans="1:37" s="194" customFormat="1" ht="15.75" customHeight="1">
      <c r="A22" s="188" t="s">
        <v>133</v>
      </c>
      <c r="B22" s="183">
        <v>11596</v>
      </c>
      <c r="C22" s="184">
        <v>1277.1</v>
      </c>
      <c r="D22" s="190">
        <v>868.8</v>
      </c>
      <c r="E22" s="184">
        <v>92.4</v>
      </c>
      <c r="F22" s="184">
        <v>0</v>
      </c>
      <c r="G22" s="184"/>
      <c r="H22" s="184"/>
      <c r="I22" s="191">
        <v>75</v>
      </c>
      <c r="J22" s="184">
        <v>17.4</v>
      </c>
      <c r="K22" s="192">
        <v>130.4</v>
      </c>
      <c r="L22" s="192"/>
      <c r="M22" s="184"/>
      <c r="N22" s="184"/>
      <c r="O22" s="184">
        <v>1708.1</v>
      </c>
      <c r="P22" s="311">
        <v>6.705</v>
      </c>
      <c r="Q22" s="184"/>
      <c r="R22" s="187">
        <f t="shared" si="0"/>
        <v>15679.505</v>
      </c>
      <c r="S22" s="193"/>
      <c r="T22" s="219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</row>
    <row r="23" spans="1:37" s="194" customFormat="1" ht="15.75" customHeight="1">
      <c r="A23" s="188" t="s">
        <v>134</v>
      </c>
      <c r="B23" s="183">
        <v>38609.8</v>
      </c>
      <c r="C23" s="184">
        <v>6612.3</v>
      </c>
      <c r="D23" s="190">
        <v>103.7</v>
      </c>
      <c r="E23" s="184">
        <v>1840.9</v>
      </c>
      <c r="F23" s="184">
        <v>1300.6</v>
      </c>
      <c r="G23" s="184"/>
      <c r="H23" s="184"/>
      <c r="I23" s="191">
        <v>378.3</v>
      </c>
      <c r="J23" s="184">
        <v>162</v>
      </c>
      <c r="K23" s="192">
        <v>180.9</v>
      </c>
      <c r="L23" s="192"/>
      <c r="M23" s="184"/>
      <c r="N23" s="184"/>
      <c r="O23" s="184">
        <v>17679.9</v>
      </c>
      <c r="P23" s="311">
        <v>5.242</v>
      </c>
      <c r="Q23" s="184"/>
      <c r="R23" s="187">
        <f t="shared" si="0"/>
        <v>65032.742000000006</v>
      </c>
      <c r="S23" s="193"/>
      <c r="T23" s="219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</row>
    <row r="24" spans="1:37" s="194" customFormat="1" ht="15.75" customHeight="1">
      <c r="A24" s="188" t="s">
        <v>135</v>
      </c>
      <c r="B24" s="183">
        <v>102430.6</v>
      </c>
      <c r="C24" s="40">
        <v>15761.8</v>
      </c>
      <c r="D24" s="190">
        <v>463.9</v>
      </c>
      <c r="E24" s="184">
        <v>20247.4</v>
      </c>
      <c r="F24" s="184">
        <v>18916.4</v>
      </c>
      <c r="G24" s="184"/>
      <c r="H24" s="184"/>
      <c r="I24" s="191">
        <v>1109.3</v>
      </c>
      <c r="J24" s="184">
        <v>221.7</v>
      </c>
      <c r="K24" s="192">
        <v>205.1</v>
      </c>
      <c r="L24" s="192"/>
      <c r="M24" s="184"/>
      <c r="N24" s="184"/>
      <c r="O24" s="184">
        <v>29717.4</v>
      </c>
      <c r="P24" s="311">
        <v>4.893</v>
      </c>
      <c r="Q24" s="184"/>
      <c r="R24" s="187">
        <f t="shared" si="0"/>
        <v>168831.09300000002</v>
      </c>
      <c r="S24" s="193"/>
      <c r="T24" s="219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</row>
    <row r="25" spans="1:37" s="194" customFormat="1" ht="15.75" customHeight="1">
      <c r="A25" s="188" t="s">
        <v>136</v>
      </c>
      <c r="B25" s="183">
        <v>35650.1</v>
      </c>
      <c r="C25" s="184">
        <v>3232.2</v>
      </c>
      <c r="D25" s="190">
        <v>7921.9</v>
      </c>
      <c r="E25" s="184">
        <v>883.1</v>
      </c>
      <c r="F25" s="184">
        <v>476.8</v>
      </c>
      <c r="G25" s="184"/>
      <c r="H25" s="184"/>
      <c r="I25" s="191">
        <v>362.2</v>
      </c>
      <c r="J25" s="184">
        <v>44.1</v>
      </c>
      <c r="K25" s="192">
        <v>94.7</v>
      </c>
      <c r="L25" s="192"/>
      <c r="M25" s="184"/>
      <c r="N25" s="184"/>
      <c r="O25" s="184">
        <v>5488.4</v>
      </c>
      <c r="P25" s="311">
        <v>2.82</v>
      </c>
      <c r="Q25" s="184"/>
      <c r="R25" s="187">
        <f t="shared" si="0"/>
        <v>53273.219999999994</v>
      </c>
      <c r="S25" s="193"/>
      <c r="T25" s="219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</row>
    <row r="26" spans="1:37" s="194" customFormat="1" ht="15.75" customHeight="1">
      <c r="A26" s="188" t="s">
        <v>137</v>
      </c>
      <c r="B26" s="183">
        <v>25837</v>
      </c>
      <c r="C26" s="184">
        <v>1492.1</v>
      </c>
      <c r="D26" s="190">
        <v>787.9</v>
      </c>
      <c r="E26" s="184">
        <v>3826.6</v>
      </c>
      <c r="F26" s="184">
        <v>145.3</v>
      </c>
      <c r="G26" s="184">
        <v>2693.6</v>
      </c>
      <c r="H26" s="184">
        <v>750.1</v>
      </c>
      <c r="I26" s="191">
        <v>197.4</v>
      </c>
      <c r="J26" s="184">
        <v>40.2</v>
      </c>
      <c r="K26" s="192">
        <v>54.2</v>
      </c>
      <c r="L26" s="192"/>
      <c r="M26" s="184"/>
      <c r="N26" s="184"/>
      <c r="O26" s="184">
        <v>4162</v>
      </c>
      <c r="P26" s="311">
        <v>53.021</v>
      </c>
      <c r="Q26" s="184">
        <v>590.3</v>
      </c>
      <c r="R26" s="187">
        <f t="shared" si="0"/>
        <v>36803.12100000001</v>
      </c>
      <c r="S26" s="193"/>
      <c r="T26" s="219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</row>
    <row r="27" spans="1:37" s="194" customFormat="1" ht="15.75" customHeight="1">
      <c r="A27" s="188" t="s">
        <v>138</v>
      </c>
      <c r="B27" s="183">
        <v>168078.9</v>
      </c>
      <c r="C27" s="184">
        <v>24864.3</v>
      </c>
      <c r="D27" s="190">
        <v>12321.6</v>
      </c>
      <c r="E27" s="184">
        <v>5873.1</v>
      </c>
      <c r="F27" s="184">
        <v>4827.6</v>
      </c>
      <c r="G27" s="184"/>
      <c r="H27" s="184"/>
      <c r="I27" s="191">
        <v>816.1</v>
      </c>
      <c r="J27" s="184">
        <v>229.4</v>
      </c>
      <c r="K27" s="190">
        <v>729.1</v>
      </c>
      <c r="L27" s="192"/>
      <c r="M27" s="184"/>
      <c r="N27" s="184"/>
      <c r="O27" s="184">
        <v>32960.9</v>
      </c>
      <c r="P27" s="311">
        <v>139.93</v>
      </c>
      <c r="Q27" s="184"/>
      <c r="R27" s="187">
        <f t="shared" si="0"/>
        <v>244967.83</v>
      </c>
      <c r="S27" s="193"/>
      <c r="T27" s="219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</row>
    <row r="28" spans="1:37" s="194" customFormat="1" ht="15.75" customHeight="1">
      <c r="A28" s="188" t="s">
        <v>139</v>
      </c>
      <c r="B28" s="183">
        <v>186561.1</v>
      </c>
      <c r="C28" s="184">
        <v>22083.7</v>
      </c>
      <c r="D28" s="190">
        <v>419.3</v>
      </c>
      <c r="E28" s="184">
        <v>21982.6</v>
      </c>
      <c r="F28" s="184">
        <v>18257.3</v>
      </c>
      <c r="G28" s="184"/>
      <c r="H28" s="184"/>
      <c r="I28" s="191">
        <v>2605.2</v>
      </c>
      <c r="J28" s="184">
        <v>1120.1</v>
      </c>
      <c r="K28" s="190">
        <v>646</v>
      </c>
      <c r="L28" s="192"/>
      <c r="M28" s="184"/>
      <c r="N28" s="184"/>
      <c r="O28" s="184">
        <v>39923.2</v>
      </c>
      <c r="P28" s="311">
        <v>102.964</v>
      </c>
      <c r="Q28" s="184">
        <v>132</v>
      </c>
      <c r="R28" s="187">
        <f t="shared" si="0"/>
        <v>271850.864</v>
      </c>
      <c r="S28" s="193"/>
      <c r="T28" s="21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</row>
    <row r="29" spans="1:37" s="194" customFormat="1" ht="15.75" customHeight="1">
      <c r="A29" s="188" t="s">
        <v>140</v>
      </c>
      <c r="B29" s="183">
        <v>7079.6</v>
      </c>
      <c r="C29" s="184">
        <v>499.3</v>
      </c>
      <c r="D29" s="190">
        <v>2043.3</v>
      </c>
      <c r="E29" s="184">
        <v>118.9</v>
      </c>
      <c r="F29" s="184">
        <v>47.7</v>
      </c>
      <c r="G29" s="184"/>
      <c r="H29" s="184"/>
      <c r="I29" s="191">
        <v>44.6</v>
      </c>
      <c r="J29" s="184">
        <v>26.6</v>
      </c>
      <c r="K29" s="190">
        <v>147.5</v>
      </c>
      <c r="L29" s="192"/>
      <c r="M29" s="184"/>
      <c r="N29" s="184"/>
      <c r="O29" s="184">
        <v>0</v>
      </c>
      <c r="P29" s="311">
        <v>2.714</v>
      </c>
      <c r="Q29" s="184"/>
      <c r="R29" s="187">
        <f t="shared" si="0"/>
        <v>9891.314</v>
      </c>
      <c r="S29" s="193"/>
      <c r="T29" s="219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</row>
    <row r="30" spans="1:37" s="194" customFormat="1" ht="15.75" customHeight="1">
      <c r="A30" s="188" t="s">
        <v>141</v>
      </c>
      <c r="B30" s="183">
        <v>26185.7</v>
      </c>
      <c r="C30" s="184">
        <v>1940.9</v>
      </c>
      <c r="D30" s="190">
        <v>3658</v>
      </c>
      <c r="E30" s="184">
        <v>613.1</v>
      </c>
      <c r="F30" s="184">
        <v>287.7</v>
      </c>
      <c r="G30" s="184"/>
      <c r="H30" s="184"/>
      <c r="I30" s="191">
        <v>243.7</v>
      </c>
      <c r="J30" s="184">
        <v>81.7</v>
      </c>
      <c r="K30" s="190">
        <v>92.5</v>
      </c>
      <c r="L30" s="192"/>
      <c r="M30" s="184"/>
      <c r="N30" s="184"/>
      <c r="O30" s="184">
        <v>1729</v>
      </c>
      <c r="P30" s="311">
        <v>55.53</v>
      </c>
      <c r="Q30" s="184"/>
      <c r="R30" s="187">
        <f t="shared" si="0"/>
        <v>34274.729999999996</v>
      </c>
      <c r="S30" s="193"/>
      <c r="T30" s="219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</row>
    <row r="31" spans="1:37" s="194" customFormat="1" ht="15.75" customHeight="1">
      <c r="A31" s="188" t="s">
        <v>142</v>
      </c>
      <c r="B31" s="183">
        <v>70334.5</v>
      </c>
      <c r="C31" s="184">
        <v>24135.1</v>
      </c>
      <c r="D31" s="190">
        <v>314.1</v>
      </c>
      <c r="E31" s="184">
        <v>4828.2</v>
      </c>
      <c r="F31" s="184">
        <v>4088.6</v>
      </c>
      <c r="G31" s="184"/>
      <c r="H31" s="184"/>
      <c r="I31" s="191">
        <v>647</v>
      </c>
      <c r="J31" s="184">
        <v>92.6</v>
      </c>
      <c r="K31" s="190">
        <v>442.8</v>
      </c>
      <c r="L31" s="192"/>
      <c r="M31" s="184"/>
      <c r="N31" s="184"/>
      <c r="O31" s="184">
        <v>37370.8</v>
      </c>
      <c r="P31" s="311">
        <v>48.156</v>
      </c>
      <c r="Q31" s="184">
        <v>529.6</v>
      </c>
      <c r="R31" s="187">
        <f t="shared" si="0"/>
        <v>138003.256</v>
      </c>
      <c r="S31" s="193"/>
      <c r="T31" s="219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</row>
    <row r="32" spans="1:37" s="194" customFormat="1" ht="15.75" customHeight="1">
      <c r="A32" s="188" t="s">
        <v>143</v>
      </c>
      <c r="B32" s="183">
        <v>36140.6</v>
      </c>
      <c r="C32" s="184">
        <v>3207.6</v>
      </c>
      <c r="D32" s="190">
        <v>3542.1</v>
      </c>
      <c r="E32" s="184">
        <v>452.2</v>
      </c>
      <c r="F32" s="184">
        <v>208</v>
      </c>
      <c r="G32" s="184"/>
      <c r="H32" s="184"/>
      <c r="I32" s="191">
        <v>207.3</v>
      </c>
      <c r="J32" s="184">
        <v>36.9</v>
      </c>
      <c r="K32" s="190">
        <v>175.4</v>
      </c>
      <c r="L32" s="192">
        <v>45.8</v>
      </c>
      <c r="M32" s="184"/>
      <c r="N32" s="184"/>
      <c r="O32" s="184">
        <v>3033.3</v>
      </c>
      <c r="P32" s="311">
        <v>289.5</v>
      </c>
      <c r="Q32" s="184"/>
      <c r="R32" s="187">
        <f t="shared" si="0"/>
        <v>46886.5</v>
      </c>
      <c r="S32" s="193"/>
      <c r="T32" s="219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</row>
    <row r="33" spans="1:37" s="194" customFormat="1" ht="15.75" customHeight="1">
      <c r="A33" s="188" t="s">
        <v>144</v>
      </c>
      <c r="B33" s="183">
        <v>43217.3</v>
      </c>
      <c r="C33" s="184">
        <v>3067.9</v>
      </c>
      <c r="D33" s="434">
        <v>2367</v>
      </c>
      <c r="E33" s="184">
        <v>484.3</v>
      </c>
      <c r="F33" s="184">
        <v>170.2</v>
      </c>
      <c r="G33" s="184"/>
      <c r="H33" s="184"/>
      <c r="I33" s="191">
        <v>232.8</v>
      </c>
      <c r="J33" s="184">
        <v>81.3</v>
      </c>
      <c r="K33" s="190">
        <v>41</v>
      </c>
      <c r="L33" s="192"/>
      <c r="M33" s="184"/>
      <c r="N33" s="184"/>
      <c r="O33" s="184">
        <v>3978.9</v>
      </c>
      <c r="P33" s="311">
        <v>6.733</v>
      </c>
      <c r="Q33" s="184"/>
      <c r="R33" s="187" t="e">
        <f>#REF!+C33+D34+E33+K33+L33+M33+O33+P33+Q33</f>
        <v>#REF!</v>
      </c>
      <c r="S33" s="193"/>
      <c r="T33" s="219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</row>
    <row r="34" spans="1:37" s="194" customFormat="1" ht="15.75" customHeight="1">
      <c r="A34" s="188" t="s">
        <v>145</v>
      </c>
      <c r="B34" s="433">
        <v>7647.2</v>
      </c>
      <c r="C34" s="184">
        <v>1581.4</v>
      </c>
      <c r="D34" s="190">
        <v>4248.4</v>
      </c>
      <c r="E34" s="184">
        <v>194.6</v>
      </c>
      <c r="F34" s="184">
        <v>157.8</v>
      </c>
      <c r="G34" s="184"/>
      <c r="H34" s="184"/>
      <c r="I34" s="191">
        <v>24.9</v>
      </c>
      <c r="J34" s="184">
        <v>11.9</v>
      </c>
      <c r="K34" s="190">
        <v>56</v>
      </c>
      <c r="L34" s="192"/>
      <c r="M34" s="184"/>
      <c r="N34" s="184"/>
      <c r="O34" s="184">
        <v>2375</v>
      </c>
      <c r="P34" s="311"/>
      <c r="Q34" s="184"/>
      <c r="R34" s="187" t="e">
        <f>B33+C34+#REF!+E34+K34+L34+M34+O34+P34+Q34</f>
        <v>#REF!</v>
      </c>
      <c r="S34" s="193"/>
      <c r="T34" s="219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</row>
    <row r="35" spans="1:37" s="194" customFormat="1" ht="15.75" customHeight="1">
      <c r="A35" s="188" t="s">
        <v>146</v>
      </c>
      <c r="B35" s="183">
        <v>52208.3</v>
      </c>
      <c r="C35" s="184">
        <v>8411</v>
      </c>
      <c r="D35" s="190">
        <v>2179.7</v>
      </c>
      <c r="E35" s="184">
        <v>3275.8</v>
      </c>
      <c r="F35" s="184">
        <v>2732.9</v>
      </c>
      <c r="G35" s="184"/>
      <c r="H35" s="184"/>
      <c r="I35" s="191">
        <v>456.2</v>
      </c>
      <c r="J35" s="184">
        <v>86.7</v>
      </c>
      <c r="K35" s="192">
        <v>400.4</v>
      </c>
      <c r="L35" s="192"/>
      <c r="M35" s="184"/>
      <c r="N35" s="184"/>
      <c r="O35" s="184">
        <v>14180.6</v>
      </c>
      <c r="P35" s="311">
        <v>190.814</v>
      </c>
      <c r="Q35" s="184"/>
      <c r="R35" s="187">
        <f t="shared" si="0"/>
        <v>80846.614</v>
      </c>
      <c r="S35" s="193"/>
      <c r="T35" s="219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</row>
    <row r="36" spans="1:37" s="194" customFormat="1" ht="15.75" customHeight="1">
      <c r="A36" s="188" t="s">
        <v>147</v>
      </c>
      <c r="B36" s="183">
        <v>33497.3</v>
      </c>
      <c r="C36" s="184">
        <v>2884.8</v>
      </c>
      <c r="D36" s="190">
        <v>2517.4</v>
      </c>
      <c r="E36" s="184">
        <v>687.3</v>
      </c>
      <c r="F36" s="184">
        <v>473</v>
      </c>
      <c r="G36" s="184"/>
      <c r="H36" s="184"/>
      <c r="I36" s="191">
        <v>168.6</v>
      </c>
      <c r="J36" s="184">
        <v>45.7</v>
      </c>
      <c r="K36" s="190">
        <v>153</v>
      </c>
      <c r="L36" s="192"/>
      <c r="M36" s="184"/>
      <c r="N36" s="184"/>
      <c r="O36" s="184">
        <v>3629.8</v>
      </c>
      <c r="P36" s="311">
        <v>458.6</v>
      </c>
      <c r="Q36" s="184"/>
      <c r="R36" s="187">
        <f t="shared" si="0"/>
        <v>43828.20000000001</v>
      </c>
      <c r="S36" s="193"/>
      <c r="T36" s="219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</row>
    <row r="37" spans="1:37" s="194" customFormat="1" ht="15.75" customHeight="1">
      <c r="A37" s="188" t="s">
        <v>148</v>
      </c>
      <c r="B37" s="183">
        <v>15756.6</v>
      </c>
      <c r="C37" s="184">
        <v>2282.8</v>
      </c>
      <c r="D37" s="190">
        <v>254.6</v>
      </c>
      <c r="E37" s="184">
        <v>3234.8</v>
      </c>
      <c r="F37" s="184">
        <v>351.1</v>
      </c>
      <c r="G37" s="184">
        <v>1161.6</v>
      </c>
      <c r="H37" s="184">
        <v>1439.4</v>
      </c>
      <c r="I37" s="191">
        <v>250.4</v>
      </c>
      <c r="J37" s="184">
        <v>32.3</v>
      </c>
      <c r="K37" s="192">
        <v>180.9</v>
      </c>
      <c r="L37" s="192"/>
      <c r="M37" s="184"/>
      <c r="N37" s="184"/>
      <c r="O37" s="184">
        <v>3292.7</v>
      </c>
      <c r="P37" s="311"/>
      <c r="Q37" s="184"/>
      <c r="R37" s="187">
        <f t="shared" si="0"/>
        <v>25002.4</v>
      </c>
      <c r="S37" s="193"/>
      <c r="T37" s="219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</row>
    <row r="38" spans="1:37" s="194" customFormat="1" ht="15.75" customHeight="1">
      <c r="A38" s="188" t="s">
        <v>149</v>
      </c>
      <c r="B38" s="183">
        <v>11194.1</v>
      </c>
      <c r="C38" s="184">
        <v>333.7</v>
      </c>
      <c r="D38" s="190">
        <v>424.8</v>
      </c>
      <c r="E38" s="184">
        <v>96.1</v>
      </c>
      <c r="F38" s="184">
        <v>0</v>
      </c>
      <c r="G38" s="184"/>
      <c r="H38" s="184"/>
      <c r="I38" s="191">
        <v>82.6</v>
      </c>
      <c r="J38" s="184">
        <v>13.5</v>
      </c>
      <c r="K38" s="192">
        <v>85.7</v>
      </c>
      <c r="L38" s="192"/>
      <c r="M38" s="184"/>
      <c r="N38" s="184"/>
      <c r="O38" s="184">
        <v>922.7</v>
      </c>
      <c r="P38" s="311"/>
      <c r="Q38" s="184">
        <v>459.6240622559998</v>
      </c>
      <c r="R38" s="187">
        <f t="shared" si="0"/>
        <v>13516.724062256002</v>
      </c>
      <c r="S38" s="193"/>
      <c r="T38" s="219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</row>
    <row r="39" spans="1:37" s="194" customFormat="1" ht="15.75" customHeight="1">
      <c r="A39" s="188" t="s">
        <v>150</v>
      </c>
      <c r="B39" s="183">
        <v>24980.6</v>
      </c>
      <c r="C39" s="184">
        <v>1945.8</v>
      </c>
      <c r="D39" s="190">
        <v>564.5</v>
      </c>
      <c r="E39" s="184">
        <v>589.5</v>
      </c>
      <c r="F39" s="184">
        <v>267.7</v>
      </c>
      <c r="G39" s="184"/>
      <c r="H39" s="184"/>
      <c r="I39" s="191">
        <v>232.9</v>
      </c>
      <c r="J39" s="184">
        <v>88.9</v>
      </c>
      <c r="K39" s="190">
        <v>78.1</v>
      </c>
      <c r="L39" s="192"/>
      <c r="M39" s="184"/>
      <c r="N39" s="184"/>
      <c r="O39" s="184">
        <v>8110</v>
      </c>
      <c r="P39" s="311"/>
      <c r="Q39" s="184">
        <v>1067.5323661999996</v>
      </c>
      <c r="R39" s="187">
        <f t="shared" si="0"/>
        <v>37336.0323662</v>
      </c>
      <c r="S39" s="193"/>
      <c r="T39" s="219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</row>
    <row r="40" spans="1:37" s="194" customFormat="1" ht="15.75" customHeight="1">
      <c r="A40" s="188" t="s">
        <v>151</v>
      </c>
      <c r="B40" s="183">
        <v>24487.8</v>
      </c>
      <c r="C40" s="184">
        <v>2134.4</v>
      </c>
      <c r="D40" s="190">
        <v>413.9</v>
      </c>
      <c r="E40" s="184">
        <v>342.6</v>
      </c>
      <c r="F40" s="184">
        <v>161.3</v>
      </c>
      <c r="G40" s="184"/>
      <c r="H40" s="184"/>
      <c r="I40" s="191">
        <v>131.4</v>
      </c>
      <c r="J40" s="184">
        <v>49.9</v>
      </c>
      <c r="K40" s="190">
        <v>112.3</v>
      </c>
      <c r="L40" s="192">
        <v>149.2</v>
      </c>
      <c r="M40" s="184"/>
      <c r="N40" s="184"/>
      <c r="O40" s="184">
        <v>5070.2</v>
      </c>
      <c r="P40" s="311"/>
      <c r="Q40" s="184">
        <v>1201.6800641</v>
      </c>
      <c r="R40" s="187">
        <f t="shared" si="0"/>
        <v>33912.0800641</v>
      </c>
      <c r="S40" s="193"/>
      <c r="T40" s="219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</row>
    <row r="41" spans="1:37" s="194" customFormat="1" ht="15.75" customHeight="1">
      <c r="A41" s="188" t="s">
        <v>152</v>
      </c>
      <c r="B41" s="183">
        <v>20767.2</v>
      </c>
      <c r="C41" s="184">
        <v>1157.9</v>
      </c>
      <c r="D41" s="190">
        <v>1422.1</v>
      </c>
      <c r="E41" s="184">
        <v>346.8</v>
      </c>
      <c r="F41" s="184">
        <v>96.1</v>
      </c>
      <c r="G41" s="184"/>
      <c r="H41" s="184"/>
      <c r="I41" s="191">
        <v>172.7</v>
      </c>
      <c r="J41" s="184">
        <v>78</v>
      </c>
      <c r="K41" s="190">
        <v>200.3</v>
      </c>
      <c r="L41" s="192"/>
      <c r="M41" s="184"/>
      <c r="N41" s="184"/>
      <c r="O41" s="184">
        <v>488.9</v>
      </c>
      <c r="P41" s="311"/>
      <c r="Q41" s="184">
        <v>921.0502091559999</v>
      </c>
      <c r="R41" s="187">
        <f t="shared" si="0"/>
        <v>25304.250209156</v>
      </c>
      <c r="S41" s="193"/>
      <c r="T41" s="219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</row>
    <row r="42" spans="1:37" s="194" customFormat="1" ht="15.75" customHeight="1">
      <c r="A42" s="188" t="s">
        <v>153</v>
      </c>
      <c r="B42" s="183">
        <v>42273</v>
      </c>
      <c r="C42" s="184">
        <v>4131.5</v>
      </c>
      <c r="D42" s="190">
        <v>1175.3</v>
      </c>
      <c r="E42" s="184">
        <v>476.4</v>
      </c>
      <c r="F42" s="184">
        <v>253.9</v>
      </c>
      <c r="G42" s="184"/>
      <c r="H42" s="184"/>
      <c r="I42" s="191">
        <v>182.2</v>
      </c>
      <c r="J42" s="184">
        <v>40.3</v>
      </c>
      <c r="K42" s="190">
        <v>305</v>
      </c>
      <c r="L42" s="192">
        <v>69.4</v>
      </c>
      <c r="M42" s="184">
        <v>100</v>
      </c>
      <c r="N42" s="184"/>
      <c r="O42" s="184">
        <v>7160.8</v>
      </c>
      <c r="P42" s="311"/>
      <c r="Q42" s="184">
        <v>1108.6167670459997</v>
      </c>
      <c r="R42" s="187">
        <f t="shared" si="0"/>
        <v>56800.01676704601</v>
      </c>
      <c r="S42" s="193"/>
      <c r="T42" s="219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</row>
    <row r="43" spans="1:37" s="194" customFormat="1" ht="15.75" customHeight="1">
      <c r="A43" s="188" t="s">
        <v>154</v>
      </c>
      <c r="B43" s="183">
        <v>14501.9</v>
      </c>
      <c r="C43" s="184">
        <v>480.7</v>
      </c>
      <c r="D43" s="190">
        <v>230.9</v>
      </c>
      <c r="E43" s="184">
        <v>269.7</v>
      </c>
      <c r="F43" s="184">
        <v>148.3</v>
      </c>
      <c r="G43" s="184"/>
      <c r="H43" s="184"/>
      <c r="I43" s="191">
        <v>87.7</v>
      </c>
      <c r="J43" s="184">
        <v>33.7</v>
      </c>
      <c r="K43" s="190">
        <v>109.1</v>
      </c>
      <c r="L43" s="192">
        <v>33.8</v>
      </c>
      <c r="M43" s="184"/>
      <c r="N43" s="184"/>
      <c r="O43" s="184">
        <v>2839.3</v>
      </c>
      <c r="P43" s="311"/>
      <c r="Q43" s="184">
        <v>725.5708786559999</v>
      </c>
      <c r="R43" s="187">
        <f t="shared" si="0"/>
        <v>19190.970878656</v>
      </c>
      <c r="S43" s="193"/>
      <c r="T43" s="219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</row>
    <row r="44" spans="1:37" s="194" customFormat="1" ht="15.75" customHeight="1">
      <c r="A44" s="188" t="s">
        <v>155</v>
      </c>
      <c r="B44" s="183">
        <v>9000.8</v>
      </c>
      <c r="C44" s="184">
        <v>270.7</v>
      </c>
      <c r="D44" s="190">
        <v>282.1</v>
      </c>
      <c r="E44" s="184">
        <v>59.6</v>
      </c>
      <c r="F44" s="184">
        <v>15.6</v>
      </c>
      <c r="G44" s="184"/>
      <c r="H44" s="184"/>
      <c r="I44" s="191">
        <v>21.1</v>
      </c>
      <c r="J44" s="184">
        <v>22.9</v>
      </c>
      <c r="K44" s="190">
        <v>64.2</v>
      </c>
      <c r="L44" s="192"/>
      <c r="M44" s="184"/>
      <c r="N44" s="184"/>
      <c r="O44" s="184">
        <v>0</v>
      </c>
      <c r="P44" s="311"/>
      <c r="Q44" s="184">
        <v>692.9728211579999</v>
      </c>
      <c r="R44" s="187">
        <f t="shared" si="0"/>
        <v>10370.372821158002</v>
      </c>
      <c r="S44" s="193"/>
      <c r="T44" s="219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</row>
    <row r="45" spans="1:37" s="194" customFormat="1" ht="15.75" customHeight="1">
      <c r="A45" s="188" t="s">
        <v>156</v>
      </c>
      <c r="B45" s="183">
        <v>10856.4</v>
      </c>
      <c r="C45" s="184">
        <v>337.1</v>
      </c>
      <c r="D45" s="190">
        <v>173.1</v>
      </c>
      <c r="E45" s="184">
        <v>222.3</v>
      </c>
      <c r="F45" s="184">
        <v>172.1</v>
      </c>
      <c r="G45" s="184"/>
      <c r="H45" s="184"/>
      <c r="I45" s="191">
        <v>29.2</v>
      </c>
      <c r="J45" s="184">
        <v>21</v>
      </c>
      <c r="K45" s="190">
        <v>38.9</v>
      </c>
      <c r="L45" s="192"/>
      <c r="M45" s="184"/>
      <c r="N45" s="184"/>
      <c r="O45" s="184">
        <v>2604.2</v>
      </c>
      <c r="P45" s="311"/>
      <c r="Q45" s="184">
        <v>550.8044121279999</v>
      </c>
      <c r="R45" s="187">
        <f t="shared" si="0"/>
        <v>14782.804412128</v>
      </c>
      <c r="S45" s="193"/>
      <c r="T45" s="219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</row>
    <row r="46" spans="1:37" s="194" customFormat="1" ht="15.75" customHeight="1">
      <c r="A46" s="188" t="s">
        <v>157</v>
      </c>
      <c r="B46" s="183">
        <v>11847.9</v>
      </c>
      <c r="C46" s="184">
        <v>380.2</v>
      </c>
      <c r="D46" s="190">
        <v>2989</v>
      </c>
      <c r="E46" s="184">
        <v>163.2</v>
      </c>
      <c r="F46" s="184">
        <v>102.9</v>
      </c>
      <c r="G46" s="184"/>
      <c r="H46" s="184"/>
      <c r="I46" s="191">
        <v>39.4</v>
      </c>
      <c r="J46" s="184">
        <v>20.9</v>
      </c>
      <c r="K46" s="190">
        <v>59.9</v>
      </c>
      <c r="L46" s="192"/>
      <c r="M46" s="184"/>
      <c r="N46" s="184"/>
      <c r="O46" s="184">
        <v>175.3</v>
      </c>
      <c r="P46" s="311"/>
      <c r="Q46" s="184">
        <v>839.8377545619999</v>
      </c>
      <c r="R46" s="187">
        <f t="shared" si="0"/>
        <v>16455.337754562</v>
      </c>
      <c r="S46" s="193"/>
      <c r="T46" s="219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</row>
    <row r="47" spans="1:37" s="194" customFormat="1" ht="15.75" customHeight="1">
      <c r="A47" s="188" t="s">
        <v>158</v>
      </c>
      <c r="B47" s="183">
        <v>46690</v>
      </c>
      <c r="C47" s="184">
        <v>5364.2</v>
      </c>
      <c r="D47" s="190">
        <v>748.5</v>
      </c>
      <c r="E47" s="184">
        <v>721.6</v>
      </c>
      <c r="F47" s="184">
        <v>333.7</v>
      </c>
      <c r="G47" s="184"/>
      <c r="H47" s="184"/>
      <c r="I47" s="191">
        <v>306.5</v>
      </c>
      <c r="J47" s="184">
        <v>81.4</v>
      </c>
      <c r="K47" s="190">
        <v>91.2</v>
      </c>
      <c r="L47" s="192">
        <v>205.6</v>
      </c>
      <c r="M47" s="184"/>
      <c r="N47" s="184"/>
      <c r="O47" s="184">
        <v>3849.8</v>
      </c>
      <c r="P47" s="311"/>
      <c r="Q47" s="184">
        <v>1553.8150647000002</v>
      </c>
      <c r="R47" s="187">
        <f t="shared" si="0"/>
        <v>59224.715064699994</v>
      </c>
      <c r="S47" s="193"/>
      <c r="T47" s="219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</row>
    <row r="48" spans="1:37" s="194" customFormat="1" ht="15.75" customHeight="1">
      <c r="A48" s="188" t="s">
        <v>159</v>
      </c>
      <c r="B48" s="183">
        <v>17721.2</v>
      </c>
      <c r="C48" s="184">
        <v>983</v>
      </c>
      <c r="D48" s="190">
        <v>243.9</v>
      </c>
      <c r="E48" s="184">
        <v>437.5</v>
      </c>
      <c r="F48" s="184">
        <v>265.9</v>
      </c>
      <c r="G48" s="184"/>
      <c r="H48" s="184"/>
      <c r="I48" s="191">
        <v>119.6</v>
      </c>
      <c r="J48" s="184">
        <v>52</v>
      </c>
      <c r="K48" s="190">
        <v>61</v>
      </c>
      <c r="L48" s="192"/>
      <c r="M48" s="184"/>
      <c r="N48" s="184"/>
      <c r="O48" s="184">
        <v>3977.8</v>
      </c>
      <c r="P48" s="311"/>
      <c r="Q48" s="184">
        <v>1015.2748900739998</v>
      </c>
      <c r="R48" s="187">
        <f t="shared" si="0"/>
        <v>24439.674890074002</v>
      </c>
      <c r="S48" s="193"/>
      <c r="T48" s="219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</row>
    <row r="49" spans="1:37" s="194" customFormat="1" ht="15.75" customHeight="1">
      <c r="A49" s="188" t="s">
        <v>160</v>
      </c>
      <c r="B49" s="183">
        <v>11600.7</v>
      </c>
      <c r="C49" s="184">
        <v>733.2</v>
      </c>
      <c r="D49" s="190">
        <v>255.1</v>
      </c>
      <c r="E49" s="184">
        <v>322.4</v>
      </c>
      <c r="F49" s="184">
        <v>177.9</v>
      </c>
      <c r="G49" s="184"/>
      <c r="H49" s="184"/>
      <c r="I49" s="190">
        <v>108</v>
      </c>
      <c r="J49" s="184">
        <v>36.5</v>
      </c>
      <c r="K49" s="192">
        <v>114.9</v>
      </c>
      <c r="L49" s="192"/>
      <c r="M49" s="184"/>
      <c r="N49" s="184"/>
      <c r="O49" s="184">
        <v>2991.9</v>
      </c>
      <c r="P49" s="311"/>
      <c r="Q49" s="184">
        <v>1050.5425948899997</v>
      </c>
      <c r="R49" s="187">
        <f t="shared" si="0"/>
        <v>17068.74259489</v>
      </c>
      <c r="S49" s="193"/>
      <c r="T49" s="219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</row>
    <row r="50" spans="1:37" s="194" customFormat="1" ht="15.75" customHeight="1">
      <c r="A50" s="188" t="s">
        <v>161</v>
      </c>
      <c r="B50" s="183">
        <v>19818</v>
      </c>
      <c r="C50" s="184">
        <v>480.7</v>
      </c>
      <c r="D50" s="190">
        <v>640.3</v>
      </c>
      <c r="E50" s="184">
        <v>203</v>
      </c>
      <c r="F50" s="184">
        <v>158.4</v>
      </c>
      <c r="G50" s="184"/>
      <c r="H50" s="184"/>
      <c r="I50" s="191">
        <v>27.3</v>
      </c>
      <c r="J50" s="184">
        <v>17.3</v>
      </c>
      <c r="K50" s="192">
        <v>371.8</v>
      </c>
      <c r="L50" s="192"/>
      <c r="M50" s="184"/>
      <c r="N50" s="184"/>
      <c r="O50" s="184">
        <v>1028.5</v>
      </c>
      <c r="P50" s="311"/>
      <c r="Q50" s="184">
        <v>767.1739263953742</v>
      </c>
      <c r="R50" s="187">
        <f t="shared" si="0"/>
        <v>23309.473926395374</v>
      </c>
      <c r="S50" s="193"/>
      <c r="T50" s="219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</row>
    <row r="51" spans="1:37" s="194" customFormat="1" ht="15.75" customHeight="1">
      <c r="A51" s="188" t="s">
        <v>162</v>
      </c>
      <c r="B51" s="183">
        <v>27048</v>
      </c>
      <c r="C51" s="184">
        <v>4553.7</v>
      </c>
      <c r="D51" s="190">
        <v>655.2</v>
      </c>
      <c r="E51" s="184">
        <v>501.3</v>
      </c>
      <c r="F51" s="184">
        <v>260</v>
      </c>
      <c r="G51" s="184"/>
      <c r="H51" s="184"/>
      <c r="I51" s="190">
        <v>228</v>
      </c>
      <c r="J51" s="184">
        <v>13.3</v>
      </c>
      <c r="K51" s="192">
        <v>131.7</v>
      </c>
      <c r="L51" s="192"/>
      <c r="M51" s="184"/>
      <c r="N51" s="184"/>
      <c r="O51" s="184">
        <v>1866</v>
      </c>
      <c r="P51" s="311"/>
      <c r="Q51" s="184">
        <v>870.6616292880001</v>
      </c>
      <c r="R51" s="187">
        <f t="shared" si="0"/>
        <v>35626.561629288</v>
      </c>
      <c r="S51" s="193"/>
      <c r="T51" s="219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</row>
    <row r="52" spans="1:37" s="194" customFormat="1" ht="15.75" customHeight="1">
      <c r="A52" s="188" t="s">
        <v>163</v>
      </c>
      <c r="B52" s="183">
        <v>16330.8</v>
      </c>
      <c r="C52" s="184">
        <v>633.7</v>
      </c>
      <c r="D52" s="190">
        <v>794.5</v>
      </c>
      <c r="E52" s="184">
        <v>226.4</v>
      </c>
      <c r="F52" s="184">
        <v>95.3</v>
      </c>
      <c r="G52" s="184"/>
      <c r="H52" s="184"/>
      <c r="I52" s="191">
        <v>109.9</v>
      </c>
      <c r="J52" s="184">
        <v>21.2</v>
      </c>
      <c r="K52" s="192">
        <v>118.3</v>
      </c>
      <c r="L52" s="192"/>
      <c r="M52" s="184"/>
      <c r="N52" s="184"/>
      <c r="O52" s="184">
        <v>898.9</v>
      </c>
      <c r="P52" s="311"/>
      <c r="Q52" s="184">
        <v>781.703360152</v>
      </c>
      <c r="R52" s="187">
        <f t="shared" si="0"/>
        <v>19784.303360152004</v>
      </c>
      <c r="S52" s="193"/>
      <c r="T52" s="219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</row>
    <row r="53" spans="1:37" s="194" customFormat="1" ht="15.75" customHeight="1">
      <c r="A53" s="188" t="s">
        <v>164</v>
      </c>
      <c r="B53" s="183">
        <v>8846.1</v>
      </c>
      <c r="C53" s="184">
        <v>283.3</v>
      </c>
      <c r="D53" s="190">
        <v>272.7</v>
      </c>
      <c r="E53" s="184">
        <v>125.3</v>
      </c>
      <c r="F53" s="184">
        <v>73.3</v>
      </c>
      <c r="G53" s="184"/>
      <c r="H53" s="184"/>
      <c r="I53" s="191">
        <v>21.6</v>
      </c>
      <c r="J53" s="184">
        <v>30.4</v>
      </c>
      <c r="K53" s="192">
        <v>83.3</v>
      </c>
      <c r="L53" s="192"/>
      <c r="M53" s="184"/>
      <c r="N53" s="184"/>
      <c r="O53" s="184">
        <v>396</v>
      </c>
      <c r="P53" s="311"/>
      <c r="Q53" s="184">
        <v>642.2032292799998</v>
      </c>
      <c r="R53" s="187">
        <f t="shared" si="0"/>
        <v>10648.903229279998</v>
      </c>
      <c r="S53" s="193"/>
      <c r="T53" s="219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</row>
    <row r="54" spans="1:37" s="194" customFormat="1" ht="15.75" customHeight="1">
      <c r="A54" s="188" t="s">
        <v>165</v>
      </c>
      <c r="B54" s="183">
        <v>13588.8</v>
      </c>
      <c r="C54" s="196">
        <v>441.6</v>
      </c>
      <c r="D54" s="190">
        <v>343.1</v>
      </c>
      <c r="E54" s="184">
        <v>181.3</v>
      </c>
      <c r="F54" s="184">
        <v>121.9</v>
      </c>
      <c r="G54" s="184"/>
      <c r="H54" s="184"/>
      <c r="I54" s="191">
        <v>36.3</v>
      </c>
      <c r="J54" s="184">
        <v>23.1</v>
      </c>
      <c r="K54" s="192">
        <v>57.8</v>
      </c>
      <c r="L54" s="192"/>
      <c r="M54" s="184"/>
      <c r="N54" s="184"/>
      <c r="O54" s="184">
        <v>1044.3</v>
      </c>
      <c r="P54" s="311"/>
      <c r="Q54" s="184">
        <v>616.5469461199996</v>
      </c>
      <c r="R54" s="187">
        <f t="shared" si="0"/>
        <v>16273.446946119997</v>
      </c>
      <c r="S54" s="193"/>
      <c r="T54" s="219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</row>
    <row r="55" spans="1:37" s="194" customFormat="1" ht="15.75" customHeight="1" thickBot="1">
      <c r="A55" s="197" t="s">
        <v>166</v>
      </c>
      <c r="B55" s="196"/>
      <c r="C55" s="196"/>
      <c r="D55" s="196"/>
      <c r="E55" s="196"/>
      <c r="F55" s="196"/>
      <c r="G55" s="196"/>
      <c r="H55" s="196"/>
      <c r="I55" s="198"/>
      <c r="J55" s="196"/>
      <c r="K55" s="196"/>
      <c r="L55" s="199"/>
      <c r="M55" s="196"/>
      <c r="N55" s="196">
        <v>8010</v>
      </c>
      <c r="O55" s="196"/>
      <c r="P55" s="316">
        <v>6423.27</v>
      </c>
      <c r="Q55" s="43">
        <v>45810</v>
      </c>
      <c r="R55" s="187">
        <f>B55+C55+D55+E55+K55+L55+M55+O55+P55+Q55+N55</f>
        <v>60243.270000000004</v>
      </c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</row>
    <row r="56" spans="1:37" s="194" customFormat="1" ht="15.75" customHeight="1" thickBot="1">
      <c r="A56" s="200" t="s">
        <v>167</v>
      </c>
      <c r="B56" s="201">
        <f aca="true" t="shared" si="1" ref="B56:R56">SUM(B10:B55)</f>
        <v>2017876.8000000003</v>
      </c>
      <c r="C56" s="201">
        <f t="shared" si="1"/>
        <v>282034.7</v>
      </c>
      <c r="D56" s="201">
        <f t="shared" si="1"/>
        <v>124139.90000000001</v>
      </c>
      <c r="E56" s="201">
        <f t="shared" si="1"/>
        <v>179074.69999999995</v>
      </c>
      <c r="F56" s="201">
        <f t="shared" si="1"/>
        <v>149484.3</v>
      </c>
      <c r="G56" s="201">
        <f t="shared" si="1"/>
        <v>4124.6</v>
      </c>
      <c r="H56" s="201">
        <f t="shared" si="1"/>
        <v>2325.2</v>
      </c>
      <c r="I56" s="201">
        <f t="shared" si="1"/>
        <v>17964.100000000002</v>
      </c>
      <c r="J56" s="201">
        <f t="shared" si="1"/>
        <v>5176.499999999998</v>
      </c>
      <c r="K56" s="201">
        <f t="shared" si="1"/>
        <v>9365.699999999997</v>
      </c>
      <c r="L56" s="201">
        <f t="shared" si="1"/>
        <v>503.79999999999995</v>
      </c>
      <c r="M56" s="201">
        <f t="shared" si="1"/>
        <v>1625</v>
      </c>
      <c r="N56" s="201">
        <f t="shared" si="1"/>
        <v>8010</v>
      </c>
      <c r="O56" s="201">
        <f t="shared" si="1"/>
        <v>435642.5</v>
      </c>
      <c r="P56" s="201">
        <f t="shared" si="1"/>
        <v>9052.1</v>
      </c>
      <c r="Q56" s="201">
        <f t="shared" si="1"/>
        <v>61927.51097616137</v>
      </c>
      <c r="R56" s="201" t="e">
        <f t="shared" si="1"/>
        <v>#REF!</v>
      </c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</row>
    <row r="57" spans="2:37" ht="15.75">
      <c r="B57" s="29"/>
      <c r="C57" s="28"/>
      <c r="E57" s="28"/>
      <c r="R57" s="202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</row>
    <row r="58" spans="18:37" ht="15.75">
      <c r="R58" s="202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</row>
    <row r="59" spans="6:37" ht="15.75">
      <c r="F59" s="28"/>
      <c r="G59" s="28"/>
      <c r="R59" s="202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</row>
    <row r="60" spans="18:37" ht="15.75">
      <c r="R60" s="202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</row>
    <row r="61" spans="18:37" ht="15.75">
      <c r="R61" s="202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</row>
    <row r="62" spans="18:37" ht="15.75">
      <c r="R62" s="202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</row>
    <row r="63" spans="18:37" ht="15.75">
      <c r="R63" s="202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</row>
    <row r="64" spans="18:37" ht="15.75">
      <c r="R64" s="202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</row>
    <row r="65" spans="18:37" ht="15.75">
      <c r="R65" s="202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</row>
    <row r="66" spans="18:37" ht="15.75">
      <c r="R66" s="202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</row>
    <row r="67" spans="18:37" ht="15.75">
      <c r="R67" s="202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</row>
    <row r="68" spans="18:37" ht="15.75">
      <c r="R68" s="202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</row>
    <row r="69" spans="18:37" ht="15.75">
      <c r="R69" s="202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</row>
    <row r="70" spans="18:37" ht="15.75">
      <c r="R70" s="202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</row>
    <row r="71" spans="18:37" ht="15.75">
      <c r="R71" s="202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</row>
    <row r="72" spans="18:37" ht="15.75">
      <c r="R72" s="202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</row>
    <row r="73" spans="18:37" ht="15.75">
      <c r="R73" s="202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</row>
    <row r="74" spans="18:37" ht="15.75">
      <c r="R74" s="202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</row>
    <row r="75" spans="18:37" ht="15.75">
      <c r="R75" s="202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</row>
    <row r="76" spans="18:37" ht="15.75">
      <c r="R76" s="202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</row>
    <row r="77" spans="18:37" ht="15.75">
      <c r="R77" s="202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</row>
    <row r="78" spans="18:37" ht="15.75">
      <c r="R78" s="202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</row>
    <row r="79" spans="18:37" ht="15.75">
      <c r="R79" s="202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</row>
    <row r="80" spans="18:37" ht="15.75">
      <c r="R80" s="202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</row>
    <row r="81" spans="18:37" ht="15.75">
      <c r="R81" s="202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</row>
    <row r="82" spans="18:37" ht="15.75">
      <c r="R82" s="202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</row>
    <row r="83" spans="18:37" ht="15.75">
      <c r="R83" s="202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</row>
    <row r="84" spans="18:37" ht="15.75">
      <c r="R84" s="202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</row>
    <row r="85" spans="18:37" ht="15.75">
      <c r="R85" s="202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</row>
    <row r="86" spans="18:37" ht="15.75">
      <c r="R86" s="202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</row>
    <row r="87" spans="18:37" ht="15.75">
      <c r="R87" s="202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</row>
    <row r="88" spans="18:37" ht="15.75">
      <c r="R88" s="202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</row>
    <row r="89" spans="18:37" ht="15.75">
      <c r="R89" s="202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</row>
    <row r="90" spans="18:37" ht="15.75">
      <c r="R90" s="202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</row>
    <row r="91" spans="18:37" ht="15.75">
      <c r="R91" s="202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</row>
    <row r="92" spans="18:37" ht="15.75">
      <c r="R92" s="202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</row>
    <row r="93" spans="18:37" ht="15.75">
      <c r="R93" s="202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</row>
    <row r="94" spans="18:37" ht="15.75">
      <c r="R94" s="202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</row>
    <row r="95" spans="18:37" ht="15.75">
      <c r="R95" s="202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</row>
    <row r="96" spans="18:37" ht="15.75">
      <c r="R96" s="202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</row>
    <row r="97" spans="18:37" ht="15.75">
      <c r="R97" s="202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</row>
    <row r="98" spans="18:37" ht="15.75">
      <c r="R98" s="202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</row>
    <row r="99" spans="18:37" ht="15.75">
      <c r="R99" s="202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</row>
    <row r="100" spans="18:37" ht="15.75">
      <c r="R100" s="202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</row>
    <row r="101" spans="18:37" ht="15.75">
      <c r="R101" s="202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</row>
    <row r="102" spans="18:37" ht="15.75">
      <c r="R102" s="202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</row>
    <row r="103" spans="18:37" ht="15.75">
      <c r="R103" s="202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</row>
    <row r="104" spans="18:37" ht="15.75">
      <c r="R104" s="202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</row>
    <row r="105" spans="18:37" ht="15.75">
      <c r="R105" s="202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</row>
    <row r="106" spans="18:37" ht="15.75">
      <c r="R106" s="202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</row>
    <row r="107" spans="18:37" ht="15.75">
      <c r="R107" s="202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</row>
    <row r="108" spans="18:37" ht="15.75">
      <c r="R108" s="202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</row>
    <row r="109" spans="18:37" ht="15.75">
      <c r="R109" s="202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</row>
    <row r="110" spans="18:37" ht="15.75">
      <c r="R110" s="202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</row>
    <row r="111" spans="18:37" ht="15.75">
      <c r="R111" s="202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</row>
    <row r="112" spans="18:37" ht="15.75">
      <c r="R112" s="202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</row>
    <row r="113" spans="18:37" ht="15.75">
      <c r="R113" s="202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</row>
    <row r="114" spans="18:37" ht="15.75">
      <c r="R114" s="202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</row>
    <row r="115" spans="18:37" ht="15.75">
      <c r="R115" s="202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</row>
    <row r="116" spans="18:37" ht="15.75">
      <c r="R116" s="202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</row>
    <row r="117" spans="18:37" ht="15.75">
      <c r="R117" s="202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</row>
    <row r="118" spans="18:37" ht="15.75">
      <c r="R118" s="202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</row>
    <row r="119" spans="18:37" ht="15.75">
      <c r="R119" s="202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</row>
    <row r="120" spans="18:37" ht="15.75">
      <c r="R120" s="202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</row>
    <row r="121" spans="18:37" ht="15.75">
      <c r="R121" s="202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</row>
    <row r="122" spans="18:37" ht="15.75">
      <c r="R122" s="202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</row>
    <row r="123" spans="18:37" ht="15.75">
      <c r="R123" s="202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</row>
    <row r="124" spans="18:37" ht="15.75">
      <c r="R124" s="202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</row>
    <row r="125" spans="18:37" ht="15.75">
      <c r="R125" s="202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</row>
    <row r="126" spans="18:37" ht="15.75">
      <c r="R126" s="202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</row>
    <row r="127" spans="18:37" ht="15.75">
      <c r="R127" s="202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</row>
    <row r="128" spans="18:37" ht="15.75">
      <c r="R128" s="202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</row>
    <row r="129" spans="18:37" ht="15.75">
      <c r="R129" s="202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</row>
    <row r="130" spans="18:37" ht="15.75">
      <c r="R130" s="202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</row>
    <row r="131" spans="18:37" ht="15.75">
      <c r="R131" s="202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</row>
    <row r="132" spans="18:37" ht="15.75">
      <c r="R132" s="202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</row>
    <row r="133" spans="18:37" ht="15.75">
      <c r="R133" s="202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</row>
    <row r="134" spans="18:37" ht="15.75">
      <c r="R134" s="202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</row>
    <row r="135" spans="18:37" ht="15.75">
      <c r="R135" s="202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</row>
    <row r="136" spans="18:37" ht="15.75">
      <c r="R136" s="202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</row>
    <row r="137" spans="18:37" ht="15.75">
      <c r="R137" s="202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</row>
    <row r="138" spans="18:37" ht="15.75">
      <c r="R138" s="202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</row>
    <row r="139" spans="18:37" ht="15.75">
      <c r="R139" s="202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193"/>
    </row>
    <row r="140" spans="18:37" ht="15.75">
      <c r="R140" s="202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193"/>
    </row>
    <row r="141" spans="18:37" ht="15.75">
      <c r="R141" s="202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193"/>
    </row>
    <row r="142" spans="18:37" ht="15.75">
      <c r="R142" s="202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</row>
    <row r="143" spans="18:37" ht="15.75">
      <c r="R143" s="202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3"/>
    </row>
    <row r="144" spans="18:37" ht="15.75">
      <c r="R144" s="202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193"/>
    </row>
    <row r="145" spans="18:37" ht="15.75">
      <c r="R145" s="202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3"/>
      <c r="AK145" s="193"/>
    </row>
    <row r="146" spans="18:37" ht="15.75">
      <c r="R146" s="202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  <c r="AK146" s="193"/>
    </row>
    <row r="147" spans="18:37" ht="15.75">
      <c r="R147" s="202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3"/>
      <c r="AK147" s="193"/>
    </row>
    <row r="148" spans="18:37" ht="15.75">
      <c r="R148" s="202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193"/>
    </row>
    <row r="149" spans="18:37" ht="15.75">
      <c r="R149" s="202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193"/>
    </row>
    <row r="150" spans="18:37" ht="15.75">
      <c r="R150" s="202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193"/>
    </row>
    <row r="151" spans="18:37" ht="15.75">
      <c r="R151" s="202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</row>
    <row r="152" spans="18:37" ht="15.75">
      <c r="R152" s="202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</row>
    <row r="153" spans="18:37" ht="15.75">
      <c r="R153" s="202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</row>
    <row r="154" spans="18:37" ht="15.75">
      <c r="R154" s="202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</row>
    <row r="155" spans="18:37" ht="15.75">
      <c r="R155" s="202"/>
      <c r="S155" s="193"/>
      <c r="T155" s="193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193"/>
    </row>
    <row r="156" spans="18:37" ht="15.75">
      <c r="R156" s="202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</row>
    <row r="157" spans="18:37" ht="15.75">
      <c r="R157" s="202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</row>
    <row r="158" spans="18:37" ht="15.75">
      <c r="R158" s="202"/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3"/>
      <c r="AG158" s="193"/>
      <c r="AH158" s="193"/>
      <c r="AI158" s="193"/>
      <c r="AJ158" s="193"/>
      <c r="AK158" s="193"/>
    </row>
    <row r="159" spans="18:37" ht="15.75">
      <c r="R159" s="202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3"/>
    </row>
    <row r="160" spans="18:37" ht="15.75">
      <c r="R160" s="202"/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193"/>
    </row>
    <row r="161" spans="18:37" ht="15.75">
      <c r="R161" s="202"/>
      <c r="S161" s="193"/>
      <c r="T161" s="193"/>
      <c r="U161" s="193"/>
      <c r="V161" s="193"/>
      <c r="W161" s="193"/>
      <c r="X161" s="193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3"/>
      <c r="AI161" s="193"/>
      <c r="AJ161" s="193"/>
      <c r="AK161" s="193"/>
    </row>
    <row r="162" spans="18:37" ht="15.75">
      <c r="R162" s="202"/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</row>
    <row r="163" spans="18:37" ht="15.75">
      <c r="R163" s="202"/>
      <c r="S163" s="193"/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93"/>
      <c r="AG163" s="193"/>
      <c r="AH163" s="193"/>
      <c r="AI163" s="193"/>
      <c r="AJ163" s="193"/>
      <c r="AK163" s="193"/>
    </row>
    <row r="164" spans="18:37" ht="15.75">
      <c r="R164" s="202"/>
      <c r="S164" s="193"/>
      <c r="T164" s="193"/>
      <c r="U164" s="193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3"/>
    </row>
    <row r="165" spans="18:37" ht="15.75">
      <c r="R165" s="202"/>
      <c r="S165" s="193"/>
      <c r="T165" s="193"/>
      <c r="U165" s="193"/>
      <c r="V165" s="193"/>
      <c r="W165" s="193"/>
      <c r="X165" s="193"/>
      <c r="Y165" s="193"/>
      <c r="Z165" s="193"/>
      <c r="AA165" s="193"/>
      <c r="AB165" s="193"/>
      <c r="AC165" s="193"/>
      <c r="AD165" s="193"/>
      <c r="AE165" s="193"/>
      <c r="AF165" s="193"/>
      <c r="AG165" s="193"/>
      <c r="AH165" s="193"/>
      <c r="AI165" s="193"/>
      <c r="AJ165" s="193"/>
      <c r="AK165" s="193"/>
    </row>
    <row r="166" spans="18:37" ht="15.75">
      <c r="R166" s="202"/>
      <c r="S166" s="193"/>
      <c r="T166" s="193"/>
      <c r="U166" s="193"/>
      <c r="V166" s="193"/>
      <c r="W166" s="193"/>
      <c r="X166" s="193"/>
      <c r="Y166" s="193"/>
      <c r="Z166" s="193"/>
      <c r="AA166" s="193"/>
      <c r="AB166" s="193"/>
      <c r="AC166" s="193"/>
      <c r="AD166" s="193"/>
      <c r="AE166" s="193"/>
      <c r="AF166" s="193"/>
      <c r="AG166" s="193"/>
      <c r="AH166" s="193"/>
      <c r="AI166" s="193"/>
      <c r="AJ166" s="193"/>
      <c r="AK166" s="193"/>
    </row>
    <row r="167" spans="18:37" ht="15.75">
      <c r="R167" s="202"/>
      <c r="S167" s="193"/>
      <c r="T167" s="193"/>
      <c r="U167" s="193"/>
      <c r="V167" s="193"/>
      <c r="W167" s="193"/>
      <c r="X167" s="193"/>
      <c r="Y167" s="193"/>
      <c r="Z167" s="193"/>
      <c r="AA167" s="193"/>
      <c r="AB167" s="193"/>
      <c r="AC167" s="193"/>
      <c r="AD167" s="193"/>
      <c r="AE167" s="193"/>
      <c r="AF167" s="193"/>
      <c r="AG167" s="193"/>
      <c r="AH167" s="193"/>
      <c r="AI167" s="193"/>
      <c r="AJ167" s="193"/>
      <c r="AK167" s="193"/>
    </row>
    <row r="168" spans="18:37" ht="15.75">
      <c r="R168" s="202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8:37" ht="15.75">
      <c r="R169" s="202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3"/>
      <c r="AK169" s="193"/>
    </row>
    <row r="170" spans="18:37" ht="15.75">
      <c r="R170" s="202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8:37" ht="15.75">
      <c r="R171" s="202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</row>
    <row r="172" spans="18:37" ht="15.75">
      <c r="R172" s="202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</row>
    <row r="173" spans="18:37" ht="15.75">
      <c r="R173" s="202"/>
      <c r="S173" s="193"/>
      <c r="T173" s="193"/>
      <c r="U173" s="193"/>
      <c r="V173" s="193"/>
      <c r="W173" s="193"/>
      <c r="X173" s="193"/>
      <c r="Y173" s="193"/>
      <c r="Z173" s="193"/>
      <c r="AA173" s="193"/>
      <c r="AB173" s="193"/>
      <c r="AC173" s="193"/>
      <c r="AD173" s="193"/>
      <c r="AE173" s="193"/>
      <c r="AF173" s="193"/>
      <c r="AG173" s="193"/>
      <c r="AH173" s="193"/>
      <c r="AI173" s="193"/>
      <c r="AJ173" s="193"/>
      <c r="AK173" s="193"/>
    </row>
    <row r="174" spans="18:37" ht="15.75">
      <c r="R174" s="202"/>
      <c r="S174" s="193"/>
      <c r="T174" s="193"/>
      <c r="U174" s="193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3"/>
      <c r="AK174" s="193"/>
    </row>
    <row r="175" spans="18:37" ht="15.75">
      <c r="R175" s="202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</row>
    <row r="176" spans="18:37" ht="15.75">
      <c r="R176" s="202"/>
      <c r="S176" s="193"/>
      <c r="T176" s="193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3"/>
      <c r="AE176" s="193"/>
      <c r="AF176" s="193"/>
      <c r="AG176" s="193"/>
      <c r="AH176" s="193"/>
      <c r="AI176" s="193"/>
      <c r="AJ176" s="193"/>
      <c r="AK176" s="193"/>
    </row>
    <row r="177" spans="18:37" ht="15.75">
      <c r="R177" s="202"/>
      <c r="S177" s="193"/>
      <c r="T177" s="193"/>
      <c r="U177" s="193"/>
      <c r="V177" s="193"/>
      <c r="W177" s="193"/>
      <c r="X177" s="193"/>
      <c r="Y177" s="193"/>
      <c r="Z177" s="193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8:37" ht="15.75">
      <c r="R178" s="202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8:37" ht="15.75">
      <c r="R179" s="202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8:37" ht="15.75">
      <c r="R180" s="202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8:37" ht="15.75">
      <c r="R181" s="202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8:37" ht="15.75">
      <c r="R182" s="202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8:37" ht="15.75">
      <c r="R183" s="202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8:37" ht="15.75">
      <c r="R184" s="202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8:37" ht="15.75">
      <c r="R185" s="202"/>
      <c r="S185" s="193"/>
      <c r="T185" s="193"/>
      <c r="U185" s="193"/>
      <c r="V185" s="193"/>
      <c r="W185" s="193"/>
      <c r="X185" s="193"/>
      <c r="Y185" s="193"/>
      <c r="Z185" s="193"/>
      <c r="AA185" s="193"/>
      <c r="AB185" s="193"/>
      <c r="AC185" s="193"/>
      <c r="AD185" s="193"/>
      <c r="AE185" s="193"/>
      <c r="AF185" s="193"/>
      <c r="AG185" s="193"/>
      <c r="AH185" s="193"/>
      <c r="AI185" s="193"/>
      <c r="AJ185" s="193"/>
      <c r="AK185" s="193"/>
    </row>
  </sheetData>
  <mergeCells count="21">
    <mergeCell ref="B4:K4"/>
    <mergeCell ref="B6:M6"/>
    <mergeCell ref="O6:P6"/>
    <mergeCell ref="Q6:Q9"/>
    <mergeCell ref="F7:J7"/>
    <mergeCell ref="K7:K9"/>
    <mergeCell ref="G8:H8"/>
    <mergeCell ref="I8:I9"/>
    <mergeCell ref="J8:J9"/>
    <mergeCell ref="E7:E9"/>
    <mergeCell ref="A6:A9"/>
    <mergeCell ref="B7:B9"/>
    <mergeCell ref="C7:C9"/>
    <mergeCell ref="D7:D9"/>
    <mergeCell ref="F8:F9"/>
    <mergeCell ref="L7:L9"/>
    <mergeCell ref="M7:M9"/>
    <mergeCell ref="R6:R9"/>
    <mergeCell ref="P7:P9"/>
    <mergeCell ref="O7:O9"/>
    <mergeCell ref="N7:N9"/>
  </mergeCells>
  <printOptions/>
  <pageMargins left="0.7874015748031497" right="0.17" top="0.22" bottom="0.18" header="0" footer="0"/>
  <pageSetup horizontalDpi="600" verticalDpi="600" orientation="landscape" paperSize="9" scale="45" r:id="rId1"/>
  <colBreaks count="1" manualBreakCount="1">
    <brk id="14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SheetLayoutView="100" workbookViewId="0" topLeftCell="A4">
      <pane xSplit="1" ySplit="3" topLeftCell="B49" activePane="bottomRight" state="frozen"/>
      <selection pane="topLeft" activeCell="A4" sqref="A4"/>
      <selection pane="topRight" activeCell="B4" sqref="B4"/>
      <selection pane="bottomLeft" activeCell="A7" sqref="A7"/>
      <selection pane="bottomRight" activeCell="G56" sqref="G56"/>
    </sheetView>
  </sheetViews>
  <sheetFormatPr defaultColWidth="9.00390625" defaultRowHeight="12.75"/>
  <cols>
    <col min="1" max="1" width="21.625" style="238" customWidth="1"/>
    <col min="2" max="2" width="13.75390625" style="238" customWidth="1"/>
    <col min="3" max="3" width="17.00390625" style="238" customWidth="1"/>
    <col min="4" max="4" width="14.875" style="238" customWidth="1"/>
    <col min="5" max="5" width="16.875" style="238" customWidth="1"/>
    <col min="6" max="6" width="13.875" style="238" customWidth="1"/>
    <col min="7" max="7" width="15.875" style="238" customWidth="1"/>
    <col min="8" max="8" width="19.25390625" style="238" customWidth="1"/>
    <col min="9" max="9" width="17.75390625" style="238" customWidth="1"/>
    <col min="10" max="10" width="13.25390625" style="238" customWidth="1"/>
    <col min="11" max="11" width="17.75390625" style="238" hidden="1" customWidth="1"/>
    <col min="12" max="12" width="12.75390625" style="238" customWidth="1"/>
    <col min="13" max="13" width="17.75390625" style="238" customWidth="1"/>
    <col min="14" max="14" width="10.875" style="238" customWidth="1"/>
    <col min="15" max="15" width="15.25390625" style="238" hidden="1" customWidth="1"/>
    <col min="16" max="16" width="4.875" style="238" hidden="1" customWidth="1"/>
    <col min="17" max="17" width="14.00390625" style="238" hidden="1" customWidth="1"/>
    <col min="18" max="16384" width="8.875" style="238" customWidth="1"/>
  </cols>
  <sheetData>
    <row r="1" spans="4:18" ht="13.5" customHeight="1">
      <c r="D1" s="236"/>
      <c r="E1" s="236"/>
      <c r="F1" s="236" t="s">
        <v>168</v>
      </c>
      <c r="G1" s="236"/>
      <c r="H1" s="236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4:18" ht="15.75">
      <c r="D2" s="236"/>
      <c r="E2" s="236"/>
      <c r="F2" s="236" t="s">
        <v>186</v>
      </c>
      <c r="G2" s="236"/>
      <c r="H2" s="236"/>
      <c r="I2" s="233"/>
      <c r="J2" s="233"/>
      <c r="K2" s="233"/>
      <c r="L2" s="233"/>
      <c r="M2" s="233"/>
      <c r="N2" s="233"/>
      <c r="O2" s="233"/>
      <c r="P2" s="233"/>
      <c r="Q2" s="233"/>
      <c r="R2" s="233"/>
    </row>
    <row r="3" spans="1:19" ht="26.25" customHeight="1">
      <c r="A3" s="396" t="s">
        <v>311</v>
      </c>
      <c r="B3" s="396"/>
      <c r="C3" s="396"/>
      <c r="D3" s="396"/>
      <c r="E3" s="396"/>
      <c r="F3" s="396"/>
      <c r="G3" s="396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  <c r="S3" s="241"/>
    </row>
    <row r="4" spans="1:19" ht="26.25" customHeight="1">
      <c r="A4" s="239"/>
      <c r="B4" s="239"/>
      <c r="C4" s="239"/>
      <c r="D4" s="239"/>
      <c r="E4" s="239"/>
      <c r="F4" s="239"/>
      <c r="G4" s="239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  <c r="S4" s="241"/>
    </row>
    <row r="5" spans="1:17" ht="42.75" customHeight="1" thickBot="1">
      <c r="A5" s="397" t="s">
        <v>112</v>
      </c>
      <c r="B5" s="401" t="s">
        <v>169</v>
      </c>
      <c r="C5" s="397" t="s">
        <v>291</v>
      </c>
      <c r="D5" s="397" t="s">
        <v>356</v>
      </c>
      <c r="E5" s="404" t="s">
        <v>405</v>
      </c>
      <c r="F5" s="397" t="s">
        <v>312</v>
      </c>
      <c r="G5" s="402" t="s">
        <v>170</v>
      </c>
      <c r="Q5" s="242"/>
    </row>
    <row r="6" spans="1:19" ht="175.5" customHeight="1">
      <c r="A6" s="400"/>
      <c r="B6" s="400"/>
      <c r="C6" s="400"/>
      <c r="D6" s="398"/>
      <c r="E6" s="404"/>
      <c r="F6" s="400"/>
      <c r="G6" s="403"/>
      <c r="H6" s="237"/>
      <c r="I6" s="237"/>
      <c r="J6" s="243"/>
      <c r="K6" s="244"/>
      <c r="L6" s="243"/>
      <c r="M6" s="245"/>
      <c r="N6" s="237"/>
      <c r="O6" s="246"/>
      <c r="P6" s="247"/>
      <c r="Q6" s="248"/>
      <c r="R6" s="399"/>
      <c r="S6" s="399"/>
    </row>
    <row r="7" spans="1:17" ht="15.75">
      <c r="A7" s="249" t="s">
        <v>121</v>
      </c>
      <c r="B7" s="226">
        <v>1730.1</v>
      </c>
      <c r="C7" s="250"/>
      <c r="D7" s="250"/>
      <c r="E7" s="250"/>
      <c r="F7" s="250"/>
      <c r="G7" s="282">
        <f>SUM(B7:F7)</f>
        <v>1730.1</v>
      </c>
      <c r="H7" s="204"/>
      <c r="I7" s="204"/>
      <c r="J7" s="204"/>
      <c r="K7" s="204"/>
      <c r="L7" s="204"/>
      <c r="M7" s="205"/>
      <c r="N7" s="204"/>
      <c r="O7" s="252"/>
      <c r="P7" s="203"/>
      <c r="Q7" s="206"/>
    </row>
    <row r="8" spans="1:17" ht="15.75">
      <c r="A8" s="253" t="s">
        <v>122</v>
      </c>
      <c r="B8" s="226"/>
      <c r="C8" s="250"/>
      <c r="D8" s="250"/>
      <c r="E8" s="250"/>
      <c r="F8" s="250"/>
      <c r="G8" s="282">
        <f aca="true" t="shared" si="0" ref="G8:G53">SUM(B8:F8)</f>
        <v>0</v>
      </c>
      <c r="H8" s="254"/>
      <c r="I8" s="254"/>
      <c r="J8" s="254"/>
      <c r="K8" s="254"/>
      <c r="L8" s="254"/>
      <c r="M8" s="205"/>
      <c r="N8" s="254"/>
      <c r="O8" s="252"/>
      <c r="P8" s="203"/>
      <c r="Q8" s="214"/>
    </row>
    <row r="9" spans="1:17" ht="15.75">
      <c r="A9" s="253" t="s">
        <v>123</v>
      </c>
      <c r="B9" s="226">
        <v>1656.8</v>
      </c>
      <c r="C9" s="250"/>
      <c r="D9" s="250"/>
      <c r="E9" s="250"/>
      <c r="F9" s="250"/>
      <c r="G9" s="282">
        <f t="shared" si="0"/>
        <v>1656.8</v>
      </c>
      <c r="H9" s="207"/>
      <c r="I9" s="207"/>
      <c r="J9" s="204"/>
      <c r="K9" s="204"/>
      <c r="L9" s="204"/>
      <c r="M9" s="205"/>
      <c r="N9" s="204"/>
      <c r="O9" s="252"/>
      <c r="P9" s="203"/>
      <c r="Q9" s="206"/>
    </row>
    <row r="10" spans="1:17" ht="15.75">
      <c r="A10" s="253" t="s">
        <v>124</v>
      </c>
      <c r="B10" s="226"/>
      <c r="C10" s="250"/>
      <c r="D10" s="250"/>
      <c r="E10" s="250"/>
      <c r="F10" s="250"/>
      <c r="G10" s="282">
        <f t="shared" si="0"/>
        <v>0</v>
      </c>
      <c r="H10" s="254"/>
      <c r="I10" s="254"/>
      <c r="J10" s="254"/>
      <c r="K10" s="254"/>
      <c r="L10" s="254"/>
      <c r="M10" s="205"/>
      <c r="N10" s="254"/>
      <c r="O10" s="252"/>
      <c r="P10" s="203"/>
      <c r="Q10" s="214"/>
    </row>
    <row r="11" spans="1:17" ht="15" customHeight="1">
      <c r="A11" s="253" t="s">
        <v>125</v>
      </c>
      <c r="B11" s="226">
        <v>1815.6</v>
      </c>
      <c r="C11" s="250"/>
      <c r="D11" s="250"/>
      <c r="E11" s="250"/>
      <c r="F11" s="250"/>
      <c r="G11" s="282">
        <f t="shared" si="0"/>
        <v>1815.6</v>
      </c>
      <c r="H11" s="207"/>
      <c r="I11" s="207"/>
      <c r="J11" s="204"/>
      <c r="K11" s="204"/>
      <c r="L11" s="204"/>
      <c r="M11" s="205"/>
      <c r="N11" s="204"/>
      <c r="O11" s="252"/>
      <c r="P11" s="203"/>
      <c r="Q11" s="206"/>
    </row>
    <row r="12" spans="1:17" ht="15.75">
      <c r="A12" s="253" t="s">
        <v>126</v>
      </c>
      <c r="B12" s="226"/>
      <c r="C12" s="250"/>
      <c r="D12" s="250"/>
      <c r="E12" s="250"/>
      <c r="F12" s="250"/>
      <c r="G12" s="282">
        <f t="shared" si="0"/>
        <v>0</v>
      </c>
      <c r="H12" s="254"/>
      <c r="I12" s="254"/>
      <c r="J12" s="254"/>
      <c r="K12" s="254"/>
      <c r="L12" s="254"/>
      <c r="M12" s="205"/>
      <c r="N12" s="254"/>
      <c r="O12" s="252"/>
      <c r="P12" s="203"/>
      <c r="Q12" s="214"/>
    </row>
    <row r="13" spans="1:17" ht="15.75">
      <c r="A13" s="253" t="s">
        <v>127</v>
      </c>
      <c r="B13" s="226">
        <v>1064.2</v>
      </c>
      <c r="C13" s="250"/>
      <c r="D13" s="309">
        <v>201.316</v>
      </c>
      <c r="E13" s="309"/>
      <c r="F13" s="250"/>
      <c r="G13" s="282">
        <f t="shared" si="0"/>
        <v>1265.516</v>
      </c>
      <c r="H13" s="207"/>
      <c r="I13" s="207"/>
      <c r="J13" s="204"/>
      <c r="K13" s="204"/>
      <c r="L13" s="204"/>
      <c r="M13" s="205"/>
      <c r="N13" s="204"/>
      <c r="O13" s="252"/>
      <c r="P13" s="203"/>
      <c r="Q13" s="206"/>
    </row>
    <row r="14" spans="1:17" ht="15.75">
      <c r="A14" s="253" t="s">
        <v>128</v>
      </c>
      <c r="B14" s="226"/>
      <c r="C14" s="250"/>
      <c r="D14" s="250"/>
      <c r="E14" s="250"/>
      <c r="F14" s="250"/>
      <c r="G14" s="282">
        <f t="shared" si="0"/>
        <v>0</v>
      </c>
      <c r="H14" s="254"/>
      <c r="I14" s="254"/>
      <c r="J14" s="254"/>
      <c r="K14" s="254"/>
      <c r="L14" s="254"/>
      <c r="M14" s="205"/>
      <c r="N14" s="254"/>
      <c r="O14" s="252"/>
      <c r="P14" s="203"/>
      <c r="Q14" s="214"/>
    </row>
    <row r="15" spans="1:17" ht="15" customHeight="1">
      <c r="A15" s="253" t="s">
        <v>129</v>
      </c>
      <c r="B15" s="226">
        <v>3352.3</v>
      </c>
      <c r="C15" s="250"/>
      <c r="D15" s="250"/>
      <c r="E15" s="250"/>
      <c r="F15" s="250"/>
      <c r="G15" s="282">
        <f t="shared" si="0"/>
        <v>3352.3</v>
      </c>
      <c r="H15" s="207"/>
      <c r="I15" s="207"/>
      <c r="J15" s="204"/>
      <c r="K15" s="204"/>
      <c r="L15" s="204"/>
      <c r="M15" s="205"/>
      <c r="N15" s="204"/>
      <c r="O15" s="252"/>
      <c r="P15" s="203"/>
      <c r="Q15" s="206"/>
    </row>
    <row r="16" spans="1:17" ht="15.75">
      <c r="A16" s="253" t="s">
        <v>130</v>
      </c>
      <c r="B16" s="226"/>
      <c r="C16" s="250"/>
      <c r="D16" s="250"/>
      <c r="E16" s="250"/>
      <c r="F16" s="250"/>
      <c r="G16" s="282">
        <f t="shared" si="0"/>
        <v>0</v>
      </c>
      <c r="H16" s="254"/>
      <c r="I16" s="254"/>
      <c r="J16" s="254"/>
      <c r="K16" s="254"/>
      <c r="L16" s="254"/>
      <c r="M16" s="205"/>
      <c r="N16" s="254"/>
      <c r="O16" s="252"/>
      <c r="P16" s="203"/>
      <c r="Q16" s="214"/>
    </row>
    <row r="17" spans="1:17" ht="15.75">
      <c r="A17" s="253" t="s">
        <v>131</v>
      </c>
      <c r="B17" s="226">
        <v>1314.9</v>
      </c>
      <c r="C17" s="250"/>
      <c r="D17" s="250"/>
      <c r="E17" s="250"/>
      <c r="F17" s="250"/>
      <c r="G17" s="282">
        <f t="shared" si="0"/>
        <v>1314.9</v>
      </c>
      <c r="H17" s="207"/>
      <c r="I17" s="207"/>
      <c r="J17" s="204"/>
      <c r="K17" s="204"/>
      <c r="L17" s="204"/>
      <c r="M17" s="205"/>
      <c r="N17" s="204"/>
      <c r="O17" s="252"/>
      <c r="P17" s="203"/>
      <c r="Q17" s="206"/>
    </row>
    <row r="18" spans="1:17" ht="15.75">
      <c r="A18" s="253" t="s">
        <v>132</v>
      </c>
      <c r="B18" s="226"/>
      <c r="C18" s="250"/>
      <c r="D18" s="250"/>
      <c r="E18" s="250"/>
      <c r="F18" s="250"/>
      <c r="G18" s="282">
        <f t="shared" si="0"/>
        <v>0</v>
      </c>
      <c r="H18" s="254"/>
      <c r="I18" s="254"/>
      <c r="J18" s="254"/>
      <c r="K18" s="254"/>
      <c r="L18" s="254"/>
      <c r="M18" s="205"/>
      <c r="N18" s="254"/>
      <c r="O18" s="252"/>
      <c r="P18" s="203"/>
      <c r="Q18" s="214"/>
    </row>
    <row r="19" spans="1:17" ht="15.75">
      <c r="A19" s="253" t="s">
        <v>133</v>
      </c>
      <c r="B19" s="226"/>
      <c r="C19" s="250"/>
      <c r="D19" s="250"/>
      <c r="E19" s="250"/>
      <c r="F19" s="250"/>
      <c r="G19" s="282">
        <f t="shared" si="0"/>
        <v>0</v>
      </c>
      <c r="H19" s="254"/>
      <c r="I19" s="254"/>
      <c r="J19" s="254"/>
      <c r="K19" s="254"/>
      <c r="L19" s="254"/>
      <c r="M19" s="205"/>
      <c r="N19" s="254"/>
      <c r="O19" s="255"/>
      <c r="P19" s="203"/>
      <c r="Q19" s="214"/>
    </row>
    <row r="20" spans="1:17" ht="15.75">
      <c r="A20" s="253" t="s">
        <v>134</v>
      </c>
      <c r="B20" s="226"/>
      <c r="C20" s="251"/>
      <c r="D20" s="251"/>
      <c r="E20" s="251"/>
      <c r="F20" s="251"/>
      <c r="G20" s="282">
        <f t="shared" si="0"/>
        <v>0</v>
      </c>
      <c r="H20" s="205"/>
      <c r="I20" s="205"/>
      <c r="J20" s="205"/>
      <c r="K20" s="205"/>
      <c r="L20" s="205"/>
      <c r="M20" s="205"/>
      <c r="N20" s="205"/>
      <c r="O20" s="256"/>
      <c r="P20" s="257"/>
      <c r="Q20" s="214"/>
    </row>
    <row r="21" spans="1:17" ht="15.75">
      <c r="A21" s="253" t="s">
        <v>135</v>
      </c>
      <c r="B21" s="226">
        <v>1524</v>
      </c>
      <c r="C21" s="251"/>
      <c r="D21" s="251"/>
      <c r="E21" s="251"/>
      <c r="F21" s="251"/>
      <c r="G21" s="282">
        <f t="shared" si="0"/>
        <v>1524</v>
      </c>
      <c r="H21" s="204"/>
      <c r="I21" s="204"/>
      <c r="J21" s="204"/>
      <c r="K21" s="204"/>
      <c r="L21" s="204"/>
      <c r="M21" s="205"/>
      <c r="N21" s="204"/>
      <c r="O21" s="256"/>
      <c r="P21" s="257"/>
      <c r="Q21" s="206"/>
    </row>
    <row r="22" spans="1:17" ht="15.75">
      <c r="A22" s="253" t="s">
        <v>136</v>
      </c>
      <c r="B22" s="226"/>
      <c r="C22" s="251"/>
      <c r="D22" s="251"/>
      <c r="E22" s="251"/>
      <c r="F22" s="251">
        <v>400</v>
      </c>
      <c r="G22" s="282">
        <f t="shared" si="0"/>
        <v>400</v>
      </c>
      <c r="H22" s="205"/>
      <c r="I22" s="205"/>
      <c r="J22" s="205"/>
      <c r="K22" s="205"/>
      <c r="L22" s="205"/>
      <c r="M22" s="205"/>
      <c r="N22" s="205"/>
      <c r="O22" s="256"/>
      <c r="P22" s="257"/>
      <c r="Q22" s="214"/>
    </row>
    <row r="23" spans="1:17" ht="15.75">
      <c r="A23" s="253" t="s">
        <v>137</v>
      </c>
      <c r="B23" s="226">
        <v>1082.1</v>
      </c>
      <c r="C23" s="251"/>
      <c r="D23" s="310">
        <v>1.735</v>
      </c>
      <c r="E23" s="310"/>
      <c r="F23" s="251"/>
      <c r="G23" s="282">
        <f t="shared" si="0"/>
        <v>1083.8349999999998</v>
      </c>
      <c r="H23" s="204"/>
      <c r="I23" s="204"/>
      <c r="J23" s="204"/>
      <c r="K23" s="204"/>
      <c r="L23" s="204"/>
      <c r="M23" s="205"/>
      <c r="N23" s="204"/>
      <c r="O23" s="256"/>
      <c r="P23" s="257"/>
      <c r="Q23" s="206"/>
    </row>
    <row r="24" spans="1:17" ht="15.75">
      <c r="A24" s="253" t="s">
        <v>138</v>
      </c>
      <c r="B24" s="226"/>
      <c r="C24" s="258"/>
      <c r="D24" s="258"/>
      <c r="E24" s="258"/>
      <c r="F24" s="258"/>
      <c r="G24" s="282">
        <f t="shared" si="0"/>
        <v>0</v>
      </c>
      <c r="H24" s="259"/>
      <c r="I24" s="259"/>
      <c r="J24" s="259"/>
      <c r="K24" s="259"/>
      <c r="L24" s="259"/>
      <c r="M24" s="260"/>
      <c r="N24" s="259"/>
      <c r="O24" s="261"/>
      <c r="P24" s="262"/>
      <c r="Q24" s="214"/>
    </row>
    <row r="25" spans="1:17" ht="15.75">
      <c r="A25" s="253" t="s">
        <v>139</v>
      </c>
      <c r="B25" s="226"/>
      <c r="C25" s="208"/>
      <c r="D25" s="208"/>
      <c r="E25" s="208"/>
      <c r="F25" s="208"/>
      <c r="G25" s="282">
        <f t="shared" si="0"/>
        <v>0</v>
      </c>
      <c r="H25" s="260"/>
      <c r="I25" s="260"/>
      <c r="J25" s="260"/>
      <c r="K25" s="260"/>
      <c r="L25" s="260"/>
      <c r="M25" s="260"/>
      <c r="N25" s="260"/>
      <c r="O25" s="263"/>
      <c r="P25" s="264"/>
      <c r="Q25" s="214"/>
    </row>
    <row r="26" spans="1:17" ht="15.75">
      <c r="A26" s="253" t="s">
        <v>140</v>
      </c>
      <c r="B26" s="226"/>
      <c r="C26" s="208"/>
      <c r="D26" s="208"/>
      <c r="E26" s="208"/>
      <c r="F26" s="208"/>
      <c r="G26" s="282">
        <f t="shared" si="0"/>
        <v>0</v>
      </c>
      <c r="H26" s="260"/>
      <c r="I26" s="260"/>
      <c r="J26" s="260"/>
      <c r="K26" s="260"/>
      <c r="L26" s="260"/>
      <c r="M26" s="260"/>
      <c r="N26" s="260"/>
      <c r="O26" s="263"/>
      <c r="P26" s="264"/>
      <c r="Q26" s="214"/>
    </row>
    <row r="27" spans="1:17" ht="15.75">
      <c r="A27" s="253" t="s">
        <v>141</v>
      </c>
      <c r="B27" s="226"/>
      <c r="C27" s="208"/>
      <c r="D27" s="208"/>
      <c r="E27" s="208"/>
      <c r="F27" s="208"/>
      <c r="G27" s="282">
        <f t="shared" si="0"/>
        <v>0</v>
      </c>
      <c r="H27" s="260"/>
      <c r="I27" s="260"/>
      <c r="J27" s="260"/>
      <c r="K27" s="260"/>
      <c r="L27" s="260"/>
      <c r="M27" s="260"/>
      <c r="N27" s="260"/>
      <c r="O27" s="263"/>
      <c r="P27" s="264"/>
      <c r="Q27" s="214"/>
    </row>
    <row r="28" spans="1:17" ht="15.75">
      <c r="A28" s="253" t="s">
        <v>142</v>
      </c>
      <c r="B28" s="226">
        <v>1677.9</v>
      </c>
      <c r="C28" s="208"/>
      <c r="D28" s="208"/>
      <c r="E28" s="208"/>
      <c r="F28" s="208"/>
      <c r="G28" s="282">
        <f t="shared" si="0"/>
        <v>1677.9</v>
      </c>
      <c r="H28" s="209"/>
      <c r="I28" s="209"/>
      <c r="J28" s="204"/>
      <c r="K28" s="204"/>
      <c r="L28" s="204"/>
      <c r="M28" s="205"/>
      <c r="N28" s="204"/>
      <c r="O28" s="265"/>
      <c r="P28" s="264"/>
      <c r="Q28" s="206"/>
    </row>
    <row r="29" spans="1:17" ht="15.75">
      <c r="A29" s="253" t="s">
        <v>143</v>
      </c>
      <c r="B29" s="226"/>
      <c r="C29" s="184"/>
      <c r="D29" s="184"/>
      <c r="E29" s="184"/>
      <c r="F29" s="184"/>
      <c r="G29" s="282">
        <f t="shared" si="0"/>
        <v>0</v>
      </c>
      <c r="H29" s="266"/>
      <c r="I29" s="266"/>
      <c r="J29" s="266"/>
      <c r="K29" s="266"/>
      <c r="L29" s="266"/>
      <c r="M29" s="266"/>
      <c r="N29" s="266"/>
      <c r="O29" s="267"/>
      <c r="P29" s="268"/>
      <c r="Q29" s="214"/>
    </row>
    <row r="30" spans="1:17" ht="15.75">
      <c r="A30" s="253" t="s">
        <v>144</v>
      </c>
      <c r="B30" s="226"/>
      <c r="C30" s="269"/>
      <c r="D30" s="269"/>
      <c r="E30" s="269"/>
      <c r="F30" s="210"/>
      <c r="G30" s="282">
        <f t="shared" si="0"/>
        <v>0</v>
      </c>
      <c r="H30" s="215"/>
      <c r="I30" s="215"/>
      <c r="J30" s="215"/>
      <c r="K30" s="215"/>
      <c r="L30" s="215"/>
      <c r="M30" s="216"/>
      <c r="N30" s="215"/>
      <c r="O30" s="270"/>
      <c r="P30" s="271"/>
      <c r="Q30" s="214"/>
    </row>
    <row r="31" spans="1:17" ht="15.75">
      <c r="A31" s="253" t="s">
        <v>145</v>
      </c>
      <c r="B31" s="226"/>
      <c r="C31" s="210"/>
      <c r="D31" s="210"/>
      <c r="E31" s="210"/>
      <c r="F31" s="210"/>
      <c r="G31" s="282">
        <f t="shared" si="0"/>
        <v>0</v>
      </c>
      <c r="H31" s="272"/>
      <c r="I31" s="272"/>
      <c r="J31" s="272"/>
      <c r="K31" s="272"/>
      <c r="L31" s="272"/>
      <c r="M31" s="266"/>
      <c r="N31" s="272"/>
      <c r="O31" s="273"/>
      <c r="P31" s="274"/>
      <c r="Q31" s="214"/>
    </row>
    <row r="32" spans="1:17" ht="15.75">
      <c r="A32" s="253" t="s">
        <v>171</v>
      </c>
      <c r="B32" s="226">
        <v>1103.8</v>
      </c>
      <c r="C32" s="210"/>
      <c r="D32" s="210"/>
      <c r="E32" s="210"/>
      <c r="F32" s="210"/>
      <c r="G32" s="282">
        <f t="shared" si="0"/>
        <v>1103.8</v>
      </c>
      <c r="H32" s="211"/>
      <c r="I32" s="211"/>
      <c r="J32" s="204"/>
      <c r="K32" s="204"/>
      <c r="L32" s="204"/>
      <c r="M32" s="205"/>
      <c r="N32" s="204"/>
      <c r="O32" s="273"/>
      <c r="P32" s="274"/>
      <c r="Q32" s="206"/>
    </row>
    <row r="33" spans="1:17" ht="15.75">
      <c r="A33" s="253" t="s">
        <v>147</v>
      </c>
      <c r="B33" s="226">
        <v>931.7</v>
      </c>
      <c r="C33" s="210"/>
      <c r="D33" s="210"/>
      <c r="E33" s="210"/>
      <c r="F33" s="210"/>
      <c r="G33" s="282">
        <f t="shared" si="0"/>
        <v>931.7</v>
      </c>
      <c r="H33" s="211"/>
      <c r="I33" s="211"/>
      <c r="J33" s="204"/>
      <c r="K33" s="204"/>
      <c r="L33" s="204"/>
      <c r="M33" s="205"/>
      <c r="N33" s="204"/>
      <c r="O33" s="273"/>
      <c r="P33" s="274"/>
      <c r="Q33" s="206"/>
    </row>
    <row r="34" spans="1:17" ht="15.75">
      <c r="A34" s="253" t="s">
        <v>148</v>
      </c>
      <c r="B34" s="226"/>
      <c r="C34" s="210"/>
      <c r="D34" s="210"/>
      <c r="E34" s="210"/>
      <c r="F34" s="210"/>
      <c r="G34" s="282">
        <f t="shared" si="0"/>
        <v>0</v>
      </c>
      <c r="H34" s="272"/>
      <c r="I34" s="272"/>
      <c r="J34" s="272"/>
      <c r="K34" s="272"/>
      <c r="L34" s="272"/>
      <c r="M34" s="266"/>
      <c r="N34" s="272"/>
      <c r="O34" s="273"/>
      <c r="P34" s="274"/>
      <c r="Q34" s="214"/>
    </row>
    <row r="35" spans="1:17" ht="15.75">
      <c r="A35" s="253" t="s">
        <v>149</v>
      </c>
      <c r="B35" s="275"/>
      <c r="C35" s="210"/>
      <c r="D35" s="210"/>
      <c r="E35" s="210"/>
      <c r="F35" s="210"/>
      <c r="G35" s="282">
        <f t="shared" si="0"/>
        <v>0</v>
      </c>
      <c r="H35" s="272"/>
      <c r="I35" s="272"/>
      <c r="J35" s="272"/>
      <c r="K35" s="272"/>
      <c r="L35" s="272"/>
      <c r="M35" s="266"/>
      <c r="N35" s="272"/>
      <c r="O35" s="273"/>
      <c r="P35" s="274"/>
      <c r="Q35" s="214"/>
    </row>
    <row r="36" spans="1:17" ht="15.75">
      <c r="A36" s="253" t="s">
        <v>150</v>
      </c>
      <c r="B36" s="226"/>
      <c r="C36" s="210"/>
      <c r="D36" s="210"/>
      <c r="E36" s="210"/>
      <c r="F36" s="210"/>
      <c r="G36" s="282">
        <f t="shared" si="0"/>
        <v>0</v>
      </c>
      <c r="H36" s="272"/>
      <c r="I36" s="272"/>
      <c r="J36" s="272"/>
      <c r="K36" s="272"/>
      <c r="L36" s="272"/>
      <c r="M36" s="266"/>
      <c r="N36" s="272"/>
      <c r="O36" s="273"/>
      <c r="P36" s="274"/>
      <c r="Q36" s="214"/>
    </row>
    <row r="37" spans="1:17" ht="15.75">
      <c r="A37" s="253" t="s">
        <v>151</v>
      </c>
      <c r="B37" s="226"/>
      <c r="C37" s="210"/>
      <c r="D37" s="210"/>
      <c r="E37" s="210"/>
      <c r="F37" s="210"/>
      <c r="G37" s="282">
        <f t="shared" si="0"/>
        <v>0</v>
      </c>
      <c r="H37" s="272"/>
      <c r="I37" s="272"/>
      <c r="J37" s="272"/>
      <c r="K37" s="272"/>
      <c r="L37" s="272"/>
      <c r="M37" s="266"/>
      <c r="N37" s="272"/>
      <c r="O37" s="273"/>
      <c r="P37" s="274"/>
      <c r="Q37" s="214"/>
    </row>
    <row r="38" spans="1:17" ht="15.75">
      <c r="A38" s="253" t="s">
        <v>172</v>
      </c>
      <c r="B38" s="226">
        <v>1303.8</v>
      </c>
      <c r="C38" s="210"/>
      <c r="D38" s="311">
        <v>77.524</v>
      </c>
      <c r="E38" s="311"/>
      <c r="F38" s="210"/>
      <c r="G38" s="282">
        <f t="shared" si="0"/>
        <v>1381.324</v>
      </c>
      <c r="H38" s="211"/>
      <c r="I38" s="211"/>
      <c r="J38" s="204"/>
      <c r="K38" s="204"/>
      <c r="L38" s="204"/>
      <c r="M38" s="205"/>
      <c r="N38" s="204"/>
      <c r="O38" s="273"/>
      <c r="P38" s="274"/>
      <c r="Q38" s="206"/>
    </row>
    <row r="39" spans="1:17" ht="15.75">
      <c r="A39" s="253" t="s">
        <v>153</v>
      </c>
      <c r="B39" s="226"/>
      <c r="C39" s="210"/>
      <c r="D39" s="184"/>
      <c r="E39" s="184"/>
      <c r="F39" s="210"/>
      <c r="G39" s="282">
        <f t="shared" si="0"/>
        <v>0</v>
      </c>
      <c r="H39" s="272"/>
      <c r="I39" s="272"/>
      <c r="J39" s="272"/>
      <c r="K39" s="272"/>
      <c r="L39" s="272"/>
      <c r="M39" s="266"/>
      <c r="N39" s="272"/>
      <c r="O39" s="273"/>
      <c r="P39" s="274"/>
      <c r="Q39" s="214"/>
    </row>
    <row r="40" spans="1:17" ht="15.75">
      <c r="A40" s="253" t="s">
        <v>154</v>
      </c>
      <c r="B40" s="226"/>
      <c r="C40" s="210"/>
      <c r="D40" s="184"/>
      <c r="E40" s="184"/>
      <c r="F40" s="210"/>
      <c r="G40" s="282">
        <f t="shared" si="0"/>
        <v>0</v>
      </c>
      <c r="H40" s="272"/>
      <c r="I40" s="272"/>
      <c r="J40" s="272"/>
      <c r="K40" s="272"/>
      <c r="L40" s="272"/>
      <c r="M40" s="266"/>
      <c r="N40" s="272"/>
      <c r="O40" s="273"/>
      <c r="P40" s="274"/>
      <c r="Q40" s="214"/>
    </row>
    <row r="41" spans="1:17" ht="15.75">
      <c r="A41" s="253" t="s">
        <v>155</v>
      </c>
      <c r="B41" s="226"/>
      <c r="C41" s="210"/>
      <c r="D41" s="184"/>
      <c r="E41" s="184"/>
      <c r="F41" s="210"/>
      <c r="G41" s="282">
        <f t="shared" si="0"/>
        <v>0</v>
      </c>
      <c r="H41" s="272"/>
      <c r="I41" s="272"/>
      <c r="J41" s="272"/>
      <c r="K41" s="272"/>
      <c r="L41" s="272"/>
      <c r="M41" s="266"/>
      <c r="N41" s="272"/>
      <c r="O41" s="273"/>
      <c r="P41" s="274"/>
      <c r="Q41" s="214"/>
    </row>
    <row r="42" spans="1:17" ht="15.75">
      <c r="A42" s="253" t="s">
        <v>156</v>
      </c>
      <c r="B42" s="226"/>
      <c r="C42" s="210"/>
      <c r="D42" s="184"/>
      <c r="E42" s="184"/>
      <c r="F42" s="210"/>
      <c r="G42" s="282">
        <f t="shared" si="0"/>
        <v>0</v>
      </c>
      <c r="H42" s="272"/>
      <c r="I42" s="272"/>
      <c r="J42" s="272"/>
      <c r="K42" s="272"/>
      <c r="L42" s="272"/>
      <c r="M42" s="266"/>
      <c r="N42" s="272"/>
      <c r="O42" s="273"/>
      <c r="P42" s="210"/>
      <c r="Q42" s="276"/>
    </row>
    <row r="43" spans="1:17" ht="15.75">
      <c r="A43" s="253" t="s">
        <v>157</v>
      </c>
      <c r="B43" s="226"/>
      <c r="C43" s="210"/>
      <c r="D43" s="184"/>
      <c r="E43" s="184"/>
      <c r="F43" s="210"/>
      <c r="G43" s="282">
        <f t="shared" si="0"/>
        <v>0</v>
      </c>
      <c r="H43" s="272"/>
      <c r="I43" s="272"/>
      <c r="J43" s="272"/>
      <c r="K43" s="272"/>
      <c r="L43" s="272"/>
      <c r="M43" s="266"/>
      <c r="N43" s="272"/>
      <c r="O43" s="273"/>
      <c r="P43" s="210"/>
      <c r="Q43" s="276"/>
    </row>
    <row r="44" spans="1:17" ht="15.75">
      <c r="A44" s="253" t="s">
        <v>158</v>
      </c>
      <c r="B44" s="226"/>
      <c r="C44" s="210"/>
      <c r="D44" s="184"/>
      <c r="E44" s="184"/>
      <c r="F44" s="210"/>
      <c r="G44" s="282">
        <f t="shared" si="0"/>
        <v>0</v>
      </c>
      <c r="H44" s="272"/>
      <c r="I44" s="272"/>
      <c r="J44" s="272"/>
      <c r="K44" s="272"/>
      <c r="L44" s="272"/>
      <c r="M44" s="266"/>
      <c r="N44" s="272"/>
      <c r="O44" s="273"/>
      <c r="P44" s="210"/>
      <c r="Q44" s="276"/>
    </row>
    <row r="45" spans="1:17" ht="15.75">
      <c r="A45" s="253" t="s">
        <v>159</v>
      </c>
      <c r="B45" s="226"/>
      <c r="C45" s="210"/>
      <c r="D45" s="184"/>
      <c r="E45" s="184"/>
      <c r="F45" s="210"/>
      <c r="G45" s="282">
        <f t="shared" si="0"/>
        <v>0</v>
      </c>
      <c r="H45" s="272"/>
      <c r="I45" s="272"/>
      <c r="J45" s="272"/>
      <c r="K45" s="272"/>
      <c r="L45" s="272"/>
      <c r="M45" s="266"/>
      <c r="N45" s="272"/>
      <c r="O45" s="273"/>
      <c r="P45" s="210"/>
      <c r="Q45" s="276"/>
    </row>
    <row r="46" spans="1:17" ht="15.75">
      <c r="A46" s="253" t="s">
        <v>160</v>
      </c>
      <c r="B46" s="226"/>
      <c r="C46" s="210"/>
      <c r="D46" s="184"/>
      <c r="E46" s="184"/>
      <c r="F46" s="210"/>
      <c r="G46" s="282">
        <f t="shared" si="0"/>
        <v>0</v>
      </c>
      <c r="H46" s="211"/>
      <c r="I46" s="211"/>
      <c r="J46" s="204"/>
      <c r="K46" s="204"/>
      <c r="L46" s="204"/>
      <c r="M46" s="205"/>
      <c r="N46" s="204"/>
      <c r="O46" s="273"/>
      <c r="P46" s="210"/>
      <c r="Q46" s="212"/>
    </row>
    <row r="47" spans="1:17" ht="15.75">
      <c r="A47" s="253" t="s">
        <v>161</v>
      </c>
      <c r="B47" s="226"/>
      <c r="C47" s="210"/>
      <c r="D47" s="184"/>
      <c r="E47" s="184"/>
      <c r="F47" s="210"/>
      <c r="G47" s="282">
        <f t="shared" si="0"/>
        <v>0</v>
      </c>
      <c r="H47" s="272"/>
      <c r="I47" s="272"/>
      <c r="J47" s="272"/>
      <c r="K47" s="272"/>
      <c r="L47" s="272"/>
      <c r="M47" s="266"/>
      <c r="N47" s="272"/>
      <c r="O47" s="273"/>
      <c r="P47" s="210"/>
      <c r="Q47" s="276"/>
    </row>
    <row r="48" spans="1:17" ht="15.75">
      <c r="A48" s="253" t="s">
        <v>162</v>
      </c>
      <c r="B48" s="226"/>
      <c r="C48" s="210"/>
      <c r="D48" s="184"/>
      <c r="E48" s="184"/>
      <c r="F48" s="210"/>
      <c r="G48" s="282">
        <f t="shared" si="0"/>
        <v>0</v>
      </c>
      <c r="H48" s="272"/>
      <c r="I48" s="272"/>
      <c r="J48" s="272"/>
      <c r="K48" s="272"/>
      <c r="L48" s="272"/>
      <c r="M48" s="266"/>
      <c r="N48" s="272"/>
      <c r="O48" s="273"/>
      <c r="P48" s="274"/>
      <c r="Q48" s="214"/>
    </row>
    <row r="49" spans="1:17" ht="15.75">
      <c r="A49" s="253" t="s">
        <v>163</v>
      </c>
      <c r="B49" s="226"/>
      <c r="C49" s="210"/>
      <c r="D49" s="184"/>
      <c r="E49" s="184"/>
      <c r="F49" s="210"/>
      <c r="G49" s="282">
        <f t="shared" si="0"/>
        <v>0</v>
      </c>
      <c r="H49" s="272"/>
      <c r="I49" s="272"/>
      <c r="J49" s="272"/>
      <c r="K49" s="272"/>
      <c r="L49" s="272"/>
      <c r="M49" s="266"/>
      <c r="N49" s="272"/>
      <c r="O49" s="273"/>
      <c r="P49" s="274"/>
      <c r="Q49" s="214"/>
    </row>
    <row r="50" spans="1:17" ht="15.75">
      <c r="A50" s="253" t="s">
        <v>164</v>
      </c>
      <c r="B50" s="226"/>
      <c r="C50" s="210"/>
      <c r="D50" s="210"/>
      <c r="E50" s="210"/>
      <c r="F50" s="210"/>
      <c r="G50" s="282">
        <f t="shared" si="0"/>
        <v>0</v>
      </c>
      <c r="H50" s="272"/>
      <c r="I50" s="272"/>
      <c r="J50" s="272"/>
      <c r="K50" s="272"/>
      <c r="L50" s="272"/>
      <c r="M50" s="266"/>
      <c r="N50" s="272"/>
      <c r="O50" s="273"/>
      <c r="P50" s="274"/>
      <c r="Q50" s="214"/>
    </row>
    <row r="51" spans="1:17" ht="15.75">
      <c r="A51" s="253" t="s">
        <v>165</v>
      </c>
      <c r="B51" s="226"/>
      <c r="C51" s="210"/>
      <c r="D51" s="210"/>
      <c r="E51" s="210"/>
      <c r="F51" s="210"/>
      <c r="G51" s="282">
        <f t="shared" si="0"/>
        <v>0</v>
      </c>
      <c r="H51" s="272"/>
      <c r="I51" s="272"/>
      <c r="J51" s="272"/>
      <c r="K51" s="272"/>
      <c r="L51" s="272"/>
      <c r="M51" s="266"/>
      <c r="N51" s="272"/>
      <c r="O51" s="273"/>
      <c r="P51" s="210"/>
      <c r="Q51" s="214"/>
    </row>
    <row r="52" spans="1:17" ht="16.5" thickBot="1">
      <c r="A52" s="253" t="s">
        <v>173</v>
      </c>
      <c r="B52" s="226"/>
      <c r="C52" s="210">
        <v>9000</v>
      </c>
      <c r="D52" s="210"/>
      <c r="E52" s="210">
        <v>2000</v>
      </c>
      <c r="F52" s="184"/>
      <c r="G52" s="282">
        <f t="shared" si="0"/>
        <v>11000</v>
      </c>
      <c r="H52" s="211"/>
      <c r="I52" s="211"/>
      <c r="J52" s="204"/>
      <c r="K52" s="204"/>
      <c r="L52" s="204"/>
      <c r="M52" s="266"/>
      <c r="N52" s="204"/>
      <c r="O52" s="277"/>
      <c r="P52" s="213"/>
      <c r="Q52" s="214"/>
    </row>
    <row r="53" spans="1:17" ht="16.5" thickBot="1">
      <c r="A53" s="278" t="s">
        <v>167</v>
      </c>
      <c r="B53" s="269">
        <f>SUM(B7:B52)</f>
        <v>18557.199999999997</v>
      </c>
      <c r="C53" s="269">
        <f>SUM(C7:C52)</f>
        <v>9000</v>
      </c>
      <c r="D53" s="312">
        <f>SUM(D7:D52)</f>
        <v>280.57500000000005</v>
      </c>
      <c r="E53" s="269">
        <f>SUM(E7:E52)</f>
        <v>2000</v>
      </c>
      <c r="F53" s="269">
        <f>SUM(F7:F52)</f>
        <v>400</v>
      </c>
      <c r="G53" s="282">
        <f t="shared" si="0"/>
        <v>30237.774999999998</v>
      </c>
      <c r="H53" s="215"/>
      <c r="I53" s="215"/>
      <c r="J53" s="215"/>
      <c r="K53" s="215"/>
      <c r="L53" s="215"/>
      <c r="M53" s="216"/>
      <c r="N53" s="215"/>
      <c r="O53" s="217"/>
      <c r="P53" s="279"/>
      <c r="Q53" s="218"/>
    </row>
    <row r="54" spans="7:8" ht="15.75">
      <c r="G54" s="254"/>
      <c r="H54" s="280"/>
    </row>
    <row r="55" ht="15.75">
      <c r="H55" s="281"/>
    </row>
    <row r="56" spans="7:8" ht="15.75">
      <c r="G56" s="281"/>
      <c r="H56" s="281"/>
    </row>
  </sheetData>
  <mergeCells count="9">
    <mergeCell ref="A3:G3"/>
    <mergeCell ref="D5:D6"/>
    <mergeCell ref="R6:S6"/>
    <mergeCell ref="A5:A6"/>
    <mergeCell ref="B5:B6"/>
    <mergeCell ref="C5:C6"/>
    <mergeCell ref="F5:F6"/>
    <mergeCell ref="G5:G6"/>
    <mergeCell ref="E5:E6"/>
  </mergeCells>
  <printOptions/>
  <pageMargins left="0.66" right="0.5905511811023623" top="0.17" bottom="0.17" header="0" footer="0"/>
  <pageSetup fitToHeight="1" fitToWidth="1" horizontalDpi="600" verticalDpi="600" orientation="portrait" paperSize="9" scale="78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60" workbookViewId="0" topLeftCell="A1">
      <selection activeCell="E26" sqref="E26"/>
    </sheetView>
  </sheetViews>
  <sheetFormatPr defaultColWidth="9.00390625" defaultRowHeight="12.75"/>
  <cols>
    <col min="1" max="1" width="17.25390625" style="0" customWidth="1"/>
    <col min="2" max="2" width="21.625" style="0" customWidth="1"/>
    <col min="3" max="3" width="17.25390625" style="0" customWidth="1"/>
    <col min="4" max="4" width="17.125" style="0" customWidth="1"/>
    <col min="5" max="5" width="17.875" style="0" customWidth="1"/>
  </cols>
  <sheetData>
    <row r="1" spans="1:5" ht="15">
      <c r="A1" s="285"/>
      <c r="B1" s="285"/>
      <c r="C1" s="406" t="s">
        <v>346</v>
      </c>
      <c r="D1" s="406"/>
      <c r="E1" s="406"/>
    </row>
    <row r="2" spans="1:5" ht="15">
      <c r="A2" s="285"/>
      <c r="B2" s="285"/>
      <c r="C2" s="406" t="s">
        <v>186</v>
      </c>
      <c r="D2" s="406"/>
      <c r="E2" s="406"/>
    </row>
    <row r="3" spans="1:5" ht="12.75">
      <c r="A3" s="285"/>
      <c r="B3" s="285"/>
      <c r="C3" s="407"/>
      <c r="D3" s="407"/>
      <c r="E3" s="407"/>
    </row>
    <row r="4" spans="1:5" ht="12.75">
      <c r="A4" s="285"/>
      <c r="B4" s="285"/>
      <c r="C4" s="285"/>
      <c r="D4" s="285"/>
      <c r="E4" s="285"/>
    </row>
    <row r="5" spans="1:5" ht="15.75">
      <c r="A5" s="408" t="s">
        <v>352</v>
      </c>
      <c r="B5" s="408"/>
      <c r="C5" s="408"/>
      <c r="D5" s="408"/>
      <c r="E5" s="408"/>
    </row>
    <row r="6" spans="1:5" ht="12.75">
      <c r="A6" s="405"/>
      <c r="B6" s="405"/>
      <c r="C6" s="405"/>
      <c r="D6" s="405"/>
      <c r="E6" s="405"/>
    </row>
    <row r="7" spans="1:5" ht="12.75">
      <c r="A7" s="285"/>
      <c r="B7" s="285"/>
      <c r="C7" s="285"/>
      <c r="D7" s="285"/>
      <c r="E7" s="285"/>
    </row>
    <row r="8" spans="1:5" ht="12.75">
      <c r="A8" s="285"/>
      <c r="B8" s="285"/>
      <c r="C8" s="285"/>
      <c r="D8" s="285"/>
      <c r="E8" s="286" t="s">
        <v>37</v>
      </c>
    </row>
    <row r="9" spans="1:5" ht="30">
      <c r="A9" s="323" t="s">
        <v>281</v>
      </c>
      <c r="B9" s="323" t="s">
        <v>347</v>
      </c>
      <c r="C9" s="323" t="s">
        <v>193</v>
      </c>
      <c r="D9" s="323" t="s">
        <v>283</v>
      </c>
      <c r="E9" s="323" t="s">
        <v>348</v>
      </c>
    </row>
    <row r="10" spans="1:5" ht="12.75">
      <c r="A10" s="287">
        <v>1</v>
      </c>
      <c r="B10" s="287">
        <v>2</v>
      </c>
      <c r="C10" s="287">
        <v>3</v>
      </c>
      <c r="D10" s="287">
        <v>4</v>
      </c>
      <c r="E10" s="287">
        <v>5</v>
      </c>
    </row>
    <row r="11" spans="1:5" ht="32.25" customHeight="1">
      <c r="A11" s="321">
        <v>200000</v>
      </c>
      <c r="B11" s="319" t="s">
        <v>349</v>
      </c>
      <c r="C11" s="269">
        <f>D11+E11</f>
        <v>130163.30000000144</v>
      </c>
      <c r="D11" s="317">
        <f>D12</f>
        <v>91962.9000000013</v>
      </c>
      <c r="E11" s="317">
        <f>E13</f>
        <v>38200.40000000014</v>
      </c>
    </row>
    <row r="12" spans="1:5" ht="46.5" customHeight="1">
      <c r="A12" s="322">
        <v>208000</v>
      </c>
      <c r="B12" s="320" t="s">
        <v>350</v>
      </c>
      <c r="C12" s="210">
        <f>D12+E12</f>
        <v>130163.30000000144</v>
      </c>
      <c r="D12" s="318">
        <f>D13</f>
        <v>91962.9000000013</v>
      </c>
      <c r="E12" s="210">
        <f>E13</f>
        <v>38200.40000000014</v>
      </c>
    </row>
    <row r="13" spans="1:5" ht="19.5" customHeight="1">
      <c r="A13" s="322">
        <v>208100</v>
      </c>
      <c r="B13" s="320" t="s">
        <v>351</v>
      </c>
      <c r="C13" s="210">
        <f>D13+E13</f>
        <v>130163.30000000144</v>
      </c>
      <c r="D13" s="318">
        <f>'№2'!C95</f>
        <v>91962.9000000013</v>
      </c>
      <c r="E13" s="210">
        <f>'№2'!G95</f>
        <v>38200.40000000014</v>
      </c>
    </row>
    <row r="14" spans="1:5" ht="45.75" customHeight="1">
      <c r="A14" s="321">
        <v>600000</v>
      </c>
      <c r="B14" s="319" t="s">
        <v>391</v>
      </c>
      <c r="C14" s="269">
        <v>130163.30000000133</v>
      </c>
      <c r="D14" s="269">
        <v>91962.9000000013</v>
      </c>
      <c r="E14" s="269">
        <v>38200.4</v>
      </c>
    </row>
    <row r="15" spans="1:5" ht="38.25" customHeight="1">
      <c r="A15" s="322">
        <v>602000</v>
      </c>
      <c r="B15" s="320" t="s">
        <v>392</v>
      </c>
      <c r="C15" s="318">
        <v>130163.30000000133</v>
      </c>
      <c r="D15" s="318">
        <v>91962.9000000013</v>
      </c>
      <c r="E15" s="318">
        <v>38200.4</v>
      </c>
    </row>
    <row r="16" spans="1:5" ht="29.25" customHeight="1">
      <c r="A16" s="322">
        <v>602100</v>
      </c>
      <c r="B16" s="320" t="s">
        <v>351</v>
      </c>
      <c r="C16" s="318">
        <v>130163.30000000133</v>
      </c>
      <c r="D16" s="318">
        <v>91962.9000000013</v>
      </c>
      <c r="E16" s="318">
        <v>38200.4</v>
      </c>
    </row>
  </sheetData>
  <mergeCells count="5">
    <mergeCell ref="A6:E6"/>
    <mergeCell ref="C1:E1"/>
    <mergeCell ref="C2:E2"/>
    <mergeCell ref="C3:E3"/>
    <mergeCell ref="A5:E5"/>
  </mergeCells>
  <printOptions/>
  <pageMargins left="0.75" right="0.42" top="1" bottom="0.67" header="0.5" footer="0.5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workbookViewId="0" topLeftCell="A11">
      <selection activeCell="H25" sqref="H25"/>
    </sheetView>
  </sheetViews>
  <sheetFormatPr defaultColWidth="9.00390625" defaultRowHeight="12.75"/>
  <cols>
    <col min="1" max="1" width="3.125" style="296" customWidth="1"/>
    <col min="2" max="2" width="10.375" style="296" customWidth="1"/>
    <col min="3" max="3" width="9.875" style="296" customWidth="1"/>
    <col min="4" max="4" width="15.125" style="296" customWidth="1"/>
    <col min="5" max="5" width="15.625" style="296" customWidth="1"/>
    <col min="6" max="6" width="12.25390625" style="296" customWidth="1"/>
    <col min="7" max="16384" width="9.125" style="296" customWidth="1"/>
  </cols>
  <sheetData>
    <row r="1" spans="4:6" s="285" customFormat="1" ht="13.5" customHeight="1">
      <c r="D1" s="405" t="s">
        <v>386</v>
      </c>
      <c r="E1" s="405"/>
      <c r="F1" s="405"/>
    </row>
    <row r="2" spans="4:6" s="285" customFormat="1" ht="12.75">
      <c r="D2" s="409" t="s">
        <v>186</v>
      </c>
      <c r="E2" s="409"/>
      <c r="F2" s="409"/>
    </row>
    <row r="3" spans="4:5" s="285" customFormat="1" ht="12.75">
      <c r="D3" s="171"/>
      <c r="E3" s="171"/>
    </row>
    <row r="4" spans="4:5" s="285" customFormat="1" ht="6" customHeight="1">
      <c r="D4" s="171"/>
      <c r="E4" s="171"/>
    </row>
    <row r="5" spans="1:6" ht="51.75" customHeight="1">
      <c r="A5" s="416" t="s">
        <v>359</v>
      </c>
      <c r="B5" s="416"/>
      <c r="C5" s="416"/>
      <c r="D5" s="416"/>
      <c r="E5" s="416"/>
      <c r="F5" s="416"/>
    </row>
    <row r="6" ht="12.75">
      <c r="A6" s="295"/>
    </row>
    <row r="7" spans="1:6" ht="12.75">
      <c r="A7" s="417" t="s">
        <v>360</v>
      </c>
      <c r="B7" s="420" t="s">
        <v>361</v>
      </c>
      <c r="C7" s="421"/>
      <c r="D7" s="297" t="s">
        <v>72</v>
      </c>
      <c r="E7" s="297" t="s">
        <v>362</v>
      </c>
      <c r="F7" s="422" t="s">
        <v>193</v>
      </c>
    </row>
    <row r="8" spans="1:6" ht="45" customHeight="1">
      <c r="A8" s="418"/>
      <c r="B8" s="425" t="s">
        <v>363</v>
      </c>
      <c r="C8" s="426"/>
      <c r="D8" s="298" t="s">
        <v>364</v>
      </c>
      <c r="E8" s="298" t="s">
        <v>365</v>
      </c>
      <c r="F8" s="423"/>
    </row>
    <row r="9" spans="1:6" ht="51" customHeight="1">
      <c r="A9" s="418"/>
      <c r="B9" s="427" t="s">
        <v>366</v>
      </c>
      <c r="C9" s="428"/>
      <c r="D9" s="429" t="s">
        <v>367</v>
      </c>
      <c r="E9" s="429" t="s">
        <v>368</v>
      </c>
      <c r="F9" s="423"/>
    </row>
    <row r="10" spans="1:6" ht="161.25" customHeight="1">
      <c r="A10" s="419"/>
      <c r="B10" s="300" t="s">
        <v>112</v>
      </c>
      <c r="C10" s="301"/>
      <c r="D10" s="430"/>
      <c r="E10" s="430"/>
      <c r="F10" s="423"/>
    </row>
    <row r="11" spans="1:6" ht="12.75">
      <c r="A11" s="299"/>
      <c r="B11" s="431" t="s">
        <v>369</v>
      </c>
      <c r="C11" s="432"/>
      <c r="D11" s="302" t="s">
        <v>238</v>
      </c>
      <c r="E11" s="302" t="s">
        <v>238</v>
      </c>
      <c r="F11" s="424"/>
    </row>
    <row r="12" spans="1:7" ht="12.75">
      <c r="A12" s="303">
        <v>1</v>
      </c>
      <c r="B12" s="414" t="s">
        <v>129</v>
      </c>
      <c r="C12" s="415"/>
      <c r="D12" s="304"/>
      <c r="E12" s="304"/>
      <c r="F12" s="305">
        <f>D12+E12</f>
        <v>0</v>
      </c>
      <c r="G12" s="306"/>
    </row>
    <row r="13" spans="1:7" ht="12.75">
      <c r="A13" s="303">
        <v>2</v>
      </c>
      <c r="B13" s="410" t="s">
        <v>121</v>
      </c>
      <c r="C13" s="410"/>
      <c r="D13" s="307">
        <v>90</v>
      </c>
      <c r="E13" s="304"/>
      <c r="F13" s="305">
        <f aca="true" t="shared" si="0" ref="F13:F59">D13+E13</f>
        <v>90</v>
      </c>
      <c r="G13" s="306"/>
    </row>
    <row r="14" spans="1:7" ht="12.75">
      <c r="A14" s="303">
        <v>3</v>
      </c>
      <c r="B14" s="410" t="s">
        <v>122</v>
      </c>
      <c r="C14" s="410"/>
      <c r="D14" s="307">
        <v>120</v>
      </c>
      <c r="E14" s="304"/>
      <c r="F14" s="305">
        <f t="shared" si="0"/>
        <v>120</v>
      </c>
      <c r="G14" s="306"/>
    </row>
    <row r="15" spans="1:7" ht="12.75">
      <c r="A15" s="303">
        <v>4</v>
      </c>
      <c r="B15" s="410" t="s">
        <v>145</v>
      </c>
      <c r="C15" s="410"/>
      <c r="D15" s="307">
        <v>25</v>
      </c>
      <c r="E15" s="304"/>
      <c r="F15" s="305">
        <f t="shared" si="0"/>
        <v>25</v>
      </c>
      <c r="G15" s="306"/>
    </row>
    <row r="16" spans="1:7" ht="12.75">
      <c r="A16" s="303">
        <v>5</v>
      </c>
      <c r="B16" s="410" t="s">
        <v>123</v>
      </c>
      <c r="C16" s="410"/>
      <c r="D16" s="307">
        <v>175</v>
      </c>
      <c r="E16" s="307">
        <v>140</v>
      </c>
      <c r="F16" s="305">
        <f t="shared" si="0"/>
        <v>315</v>
      </c>
      <c r="G16" s="306"/>
    </row>
    <row r="17" spans="1:7" ht="12.75">
      <c r="A17" s="303">
        <v>6</v>
      </c>
      <c r="B17" s="410" t="s">
        <v>124</v>
      </c>
      <c r="C17" s="410"/>
      <c r="D17" s="307">
        <v>73</v>
      </c>
      <c r="E17" s="307">
        <v>40</v>
      </c>
      <c r="F17" s="305">
        <f t="shared" si="0"/>
        <v>113</v>
      </c>
      <c r="G17" s="306"/>
    </row>
    <row r="18" spans="1:7" ht="12.75">
      <c r="A18" s="303">
        <v>7</v>
      </c>
      <c r="B18" s="410" t="s">
        <v>125</v>
      </c>
      <c r="C18" s="410"/>
      <c r="D18" s="307">
        <v>45</v>
      </c>
      <c r="E18" s="307">
        <v>60</v>
      </c>
      <c r="F18" s="305">
        <f t="shared" si="0"/>
        <v>105</v>
      </c>
      <c r="G18" s="306"/>
    </row>
    <row r="19" spans="1:7" ht="12.75">
      <c r="A19" s="303">
        <v>8</v>
      </c>
      <c r="B19" s="410" t="s">
        <v>370</v>
      </c>
      <c r="C19" s="410"/>
      <c r="D19" s="307">
        <v>20</v>
      </c>
      <c r="E19" s="307">
        <v>39</v>
      </c>
      <c r="F19" s="305">
        <f t="shared" si="0"/>
        <v>59</v>
      </c>
      <c r="G19" s="306"/>
    </row>
    <row r="20" spans="1:7" ht="12.75">
      <c r="A20" s="303">
        <v>9</v>
      </c>
      <c r="B20" s="410" t="s">
        <v>127</v>
      </c>
      <c r="C20" s="410"/>
      <c r="D20" s="307">
        <v>248</v>
      </c>
      <c r="E20" s="307"/>
      <c r="F20" s="305">
        <f t="shared" si="0"/>
        <v>248</v>
      </c>
      <c r="G20" s="306"/>
    </row>
    <row r="21" spans="1:7" ht="12.75">
      <c r="A21" s="303">
        <v>10</v>
      </c>
      <c r="B21" s="410" t="s">
        <v>128</v>
      </c>
      <c r="C21" s="410"/>
      <c r="D21" s="307">
        <v>30</v>
      </c>
      <c r="E21" s="307"/>
      <c r="F21" s="305">
        <f t="shared" si="0"/>
        <v>30</v>
      </c>
      <c r="G21" s="306"/>
    </row>
    <row r="22" spans="1:7" ht="12.75">
      <c r="A22" s="303">
        <v>11</v>
      </c>
      <c r="B22" s="410" t="s">
        <v>130</v>
      </c>
      <c r="C22" s="410"/>
      <c r="D22" s="307">
        <v>50</v>
      </c>
      <c r="E22" s="307"/>
      <c r="F22" s="305">
        <f t="shared" si="0"/>
        <v>50</v>
      </c>
      <c r="G22" s="306"/>
    </row>
    <row r="23" spans="1:7" ht="12.75">
      <c r="A23" s="303">
        <v>12</v>
      </c>
      <c r="B23" s="410" t="s">
        <v>131</v>
      </c>
      <c r="C23" s="410"/>
      <c r="D23" s="307"/>
      <c r="E23" s="307"/>
      <c r="F23" s="305">
        <f t="shared" si="0"/>
        <v>0</v>
      </c>
      <c r="G23" s="306"/>
    </row>
    <row r="24" spans="1:7" ht="15">
      <c r="A24" s="303">
        <v>13</v>
      </c>
      <c r="B24" s="410" t="s">
        <v>132</v>
      </c>
      <c r="C24" s="413"/>
      <c r="D24" s="307">
        <v>20</v>
      </c>
      <c r="E24" s="307"/>
      <c r="F24" s="305">
        <f t="shared" si="0"/>
        <v>20</v>
      </c>
      <c r="G24" s="306"/>
    </row>
    <row r="25" spans="1:7" ht="12.75">
      <c r="A25" s="303">
        <v>14</v>
      </c>
      <c r="B25" s="410" t="s">
        <v>133</v>
      </c>
      <c r="C25" s="410"/>
      <c r="D25" s="307"/>
      <c r="E25" s="307"/>
      <c r="F25" s="305">
        <f t="shared" si="0"/>
        <v>0</v>
      </c>
      <c r="G25" s="306"/>
    </row>
    <row r="26" spans="1:7" ht="12.75">
      <c r="A26" s="303">
        <v>15</v>
      </c>
      <c r="B26" s="410" t="s">
        <v>134</v>
      </c>
      <c r="C26" s="410"/>
      <c r="D26" s="313"/>
      <c r="E26" s="307"/>
      <c r="F26" s="305">
        <f t="shared" si="0"/>
        <v>0</v>
      </c>
      <c r="G26" s="306"/>
    </row>
    <row r="27" spans="1:7" ht="12.75">
      <c r="A27" s="303">
        <v>16</v>
      </c>
      <c r="B27" s="410" t="s">
        <v>135</v>
      </c>
      <c r="C27" s="410"/>
      <c r="D27" s="307">
        <v>40</v>
      </c>
      <c r="E27" s="307"/>
      <c r="F27" s="305">
        <f t="shared" si="0"/>
        <v>40</v>
      </c>
      <c r="G27" s="306"/>
    </row>
    <row r="28" spans="1:7" ht="12.75">
      <c r="A28" s="303">
        <v>17</v>
      </c>
      <c r="B28" s="410" t="s">
        <v>137</v>
      </c>
      <c r="C28" s="410"/>
      <c r="D28" s="307"/>
      <c r="E28" s="307">
        <v>65</v>
      </c>
      <c r="F28" s="305">
        <f t="shared" si="0"/>
        <v>65</v>
      </c>
      <c r="G28" s="306"/>
    </row>
    <row r="29" spans="1:7" ht="12.75" customHeight="1">
      <c r="A29" s="303">
        <v>18</v>
      </c>
      <c r="B29" s="410" t="s">
        <v>136</v>
      </c>
      <c r="C29" s="410"/>
      <c r="D29" s="307"/>
      <c r="E29" s="307"/>
      <c r="F29" s="305">
        <f t="shared" si="0"/>
        <v>0</v>
      </c>
      <c r="G29" s="306"/>
    </row>
    <row r="30" spans="1:7" ht="12.75">
      <c r="A30" s="303">
        <v>19</v>
      </c>
      <c r="B30" s="410" t="s">
        <v>138</v>
      </c>
      <c r="C30" s="410"/>
      <c r="D30" s="307">
        <v>1000</v>
      </c>
      <c r="E30" s="307">
        <v>2000</v>
      </c>
      <c r="F30" s="305">
        <f t="shared" si="0"/>
        <v>3000</v>
      </c>
      <c r="G30" s="306"/>
    </row>
    <row r="31" spans="1:7" ht="12.75">
      <c r="A31" s="303">
        <v>20</v>
      </c>
      <c r="B31" s="410" t="s">
        <v>139</v>
      </c>
      <c r="C31" s="410"/>
      <c r="D31" s="314"/>
      <c r="E31" s="307"/>
      <c r="F31" s="305">
        <f t="shared" si="0"/>
        <v>0</v>
      </c>
      <c r="G31" s="306"/>
    </row>
    <row r="32" spans="1:7" ht="12.75">
      <c r="A32" s="303">
        <v>21</v>
      </c>
      <c r="B32" s="410" t="s">
        <v>140</v>
      </c>
      <c r="C32" s="410"/>
      <c r="D32" s="314">
        <v>70</v>
      </c>
      <c r="E32" s="307"/>
      <c r="F32" s="305">
        <f t="shared" si="0"/>
        <v>70</v>
      </c>
      <c r="G32" s="306"/>
    </row>
    <row r="33" spans="1:7" ht="12.75">
      <c r="A33" s="303">
        <v>22</v>
      </c>
      <c r="B33" s="410" t="s">
        <v>141</v>
      </c>
      <c r="C33" s="410"/>
      <c r="D33" s="314">
        <v>50</v>
      </c>
      <c r="E33" s="307">
        <v>25</v>
      </c>
      <c r="F33" s="305">
        <f t="shared" si="0"/>
        <v>75</v>
      </c>
      <c r="G33" s="306"/>
    </row>
    <row r="34" spans="1:7" ht="12.75">
      <c r="A34" s="303">
        <v>23</v>
      </c>
      <c r="B34" s="410" t="s">
        <v>142</v>
      </c>
      <c r="C34" s="410"/>
      <c r="D34" s="314"/>
      <c r="E34" s="307"/>
      <c r="F34" s="305">
        <f t="shared" si="0"/>
        <v>0</v>
      </c>
      <c r="G34" s="306"/>
    </row>
    <row r="35" spans="1:7" ht="12.75">
      <c r="A35" s="303">
        <v>24</v>
      </c>
      <c r="B35" s="410" t="s">
        <v>143</v>
      </c>
      <c r="C35" s="410"/>
      <c r="D35" s="314">
        <v>100</v>
      </c>
      <c r="E35" s="307">
        <v>45</v>
      </c>
      <c r="F35" s="305">
        <f t="shared" si="0"/>
        <v>145</v>
      </c>
      <c r="G35" s="306"/>
    </row>
    <row r="36" spans="1:7" ht="12.75">
      <c r="A36" s="303">
        <v>25</v>
      </c>
      <c r="B36" s="410" t="s">
        <v>144</v>
      </c>
      <c r="C36" s="410"/>
      <c r="D36" s="314">
        <v>163.294</v>
      </c>
      <c r="E36" s="307"/>
      <c r="F36" s="305">
        <f t="shared" si="0"/>
        <v>163.294</v>
      </c>
      <c r="G36" s="306"/>
    </row>
    <row r="37" spans="1:7" ht="12.75">
      <c r="A37" s="303">
        <v>26</v>
      </c>
      <c r="B37" s="410" t="s">
        <v>171</v>
      </c>
      <c r="C37" s="410"/>
      <c r="D37" s="314">
        <v>70</v>
      </c>
      <c r="E37" s="307"/>
      <c r="F37" s="305">
        <f t="shared" si="0"/>
        <v>70</v>
      </c>
      <c r="G37" s="306"/>
    </row>
    <row r="38" spans="1:7" ht="12.75">
      <c r="A38" s="303">
        <v>27</v>
      </c>
      <c r="B38" s="410" t="s">
        <v>147</v>
      </c>
      <c r="C38" s="410"/>
      <c r="D38" s="307">
        <v>80</v>
      </c>
      <c r="E38" s="307">
        <v>30</v>
      </c>
      <c r="F38" s="305">
        <f t="shared" si="0"/>
        <v>110</v>
      </c>
      <c r="G38" s="306"/>
    </row>
    <row r="39" spans="1:7" ht="12.75">
      <c r="A39" s="303">
        <v>28</v>
      </c>
      <c r="B39" s="410" t="s">
        <v>148</v>
      </c>
      <c r="C39" s="410"/>
      <c r="D39" s="307">
        <v>20</v>
      </c>
      <c r="E39" s="307"/>
      <c r="F39" s="305">
        <f t="shared" si="0"/>
        <v>20</v>
      </c>
      <c r="G39" s="306"/>
    </row>
    <row r="40" spans="1:7" s="308" customFormat="1" ht="12.75">
      <c r="A40" s="412" t="s">
        <v>371</v>
      </c>
      <c r="B40" s="412"/>
      <c r="C40" s="412"/>
      <c r="D40" s="305">
        <f>SUM(D12:D39)</f>
        <v>2489.294</v>
      </c>
      <c r="E40" s="305">
        <f>SUM(E12:E39)</f>
        <v>2444</v>
      </c>
      <c r="F40" s="305">
        <f t="shared" si="0"/>
        <v>4933.294</v>
      </c>
      <c r="G40" s="306"/>
    </row>
    <row r="41" spans="1:7" ht="12.75">
      <c r="A41" s="303">
        <v>29</v>
      </c>
      <c r="B41" s="410" t="s">
        <v>150</v>
      </c>
      <c r="C41" s="410"/>
      <c r="D41" s="307"/>
      <c r="E41" s="307">
        <v>26</v>
      </c>
      <c r="F41" s="305">
        <f t="shared" si="0"/>
        <v>26</v>
      </c>
      <c r="G41" s="306"/>
    </row>
    <row r="42" spans="1:7" ht="12.75">
      <c r="A42" s="303">
        <v>30</v>
      </c>
      <c r="B42" s="410" t="s">
        <v>151</v>
      </c>
      <c r="C42" s="410"/>
      <c r="D42" s="307">
        <v>30</v>
      </c>
      <c r="E42" s="307">
        <v>60</v>
      </c>
      <c r="F42" s="305">
        <f t="shared" si="0"/>
        <v>90</v>
      </c>
      <c r="G42" s="306"/>
    </row>
    <row r="43" spans="1:7" ht="12.75">
      <c r="A43" s="303">
        <v>31</v>
      </c>
      <c r="B43" s="410" t="s">
        <v>372</v>
      </c>
      <c r="C43" s="410"/>
      <c r="D43" s="307"/>
      <c r="E43" s="307"/>
      <c r="F43" s="305">
        <f t="shared" si="0"/>
        <v>0</v>
      </c>
      <c r="G43" s="306"/>
    </row>
    <row r="44" spans="1:7" ht="12.75">
      <c r="A44" s="303">
        <v>32</v>
      </c>
      <c r="B44" s="410" t="s">
        <v>373</v>
      </c>
      <c r="C44" s="410"/>
      <c r="D44" s="307">
        <v>100</v>
      </c>
      <c r="E44" s="307">
        <v>40</v>
      </c>
      <c r="F44" s="305">
        <f t="shared" si="0"/>
        <v>140</v>
      </c>
      <c r="G44" s="306"/>
    </row>
    <row r="45" spans="1:7" ht="12.75">
      <c r="A45" s="303">
        <v>33</v>
      </c>
      <c r="B45" s="410" t="s">
        <v>374</v>
      </c>
      <c r="C45" s="410"/>
      <c r="D45" s="307">
        <v>35</v>
      </c>
      <c r="E45" s="307"/>
      <c r="F45" s="305">
        <f t="shared" si="0"/>
        <v>35</v>
      </c>
      <c r="G45" s="306"/>
    </row>
    <row r="46" spans="1:7" ht="12.75">
      <c r="A46" s="303">
        <v>34</v>
      </c>
      <c r="B46" s="410" t="s">
        <v>155</v>
      </c>
      <c r="C46" s="410"/>
      <c r="D46" s="307">
        <v>56</v>
      </c>
      <c r="E46" s="307">
        <v>10</v>
      </c>
      <c r="F46" s="305">
        <f t="shared" si="0"/>
        <v>66</v>
      </c>
      <c r="G46" s="306"/>
    </row>
    <row r="47" spans="1:7" ht="12.75">
      <c r="A47" s="303">
        <v>35</v>
      </c>
      <c r="B47" s="410" t="s">
        <v>375</v>
      </c>
      <c r="C47" s="410"/>
      <c r="D47" s="307">
        <v>65</v>
      </c>
      <c r="E47" s="307"/>
      <c r="F47" s="305">
        <f t="shared" si="0"/>
        <v>65</v>
      </c>
      <c r="G47" s="306"/>
    </row>
    <row r="48" spans="1:7" ht="12.75">
      <c r="A48" s="303">
        <v>36</v>
      </c>
      <c r="B48" s="410" t="s">
        <v>376</v>
      </c>
      <c r="C48" s="410"/>
      <c r="D48" s="307">
        <v>60</v>
      </c>
      <c r="E48" s="307">
        <v>40</v>
      </c>
      <c r="F48" s="305">
        <f t="shared" si="0"/>
        <v>100</v>
      </c>
      <c r="G48" s="306"/>
    </row>
    <row r="49" spans="1:7" ht="12.75">
      <c r="A49" s="303">
        <v>37</v>
      </c>
      <c r="B49" s="410" t="s">
        <v>158</v>
      </c>
      <c r="C49" s="410"/>
      <c r="D49" s="307">
        <v>135</v>
      </c>
      <c r="E49" s="307"/>
      <c r="F49" s="305">
        <f t="shared" si="0"/>
        <v>135</v>
      </c>
      <c r="G49" s="306"/>
    </row>
    <row r="50" spans="1:7" ht="12.75">
      <c r="A50" s="303">
        <v>38</v>
      </c>
      <c r="B50" s="410" t="s">
        <v>377</v>
      </c>
      <c r="C50" s="410"/>
      <c r="D50" s="307">
        <v>50</v>
      </c>
      <c r="E50" s="307">
        <v>30</v>
      </c>
      <c r="F50" s="305">
        <f t="shared" si="0"/>
        <v>80</v>
      </c>
      <c r="G50" s="306"/>
    </row>
    <row r="51" spans="1:7" ht="12.75">
      <c r="A51" s="303">
        <v>39</v>
      </c>
      <c r="B51" s="410" t="s">
        <v>378</v>
      </c>
      <c r="C51" s="410"/>
      <c r="D51" s="307">
        <v>45</v>
      </c>
      <c r="E51" s="307"/>
      <c r="F51" s="305">
        <f t="shared" si="0"/>
        <v>45</v>
      </c>
      <c r="G51" s="306"/>
    </row>
    <row r="52" spans="1:7" ht="12.75">
      <c r="A52" s="303">
        <v>40</v>
      </c>
      <c r="B52" s="410" t="s">
        <v>379</v>
      </c>
      <c r="C52" s="410"/>
      <c r="D52" s="307">
        <v>40</v>
      </c>
      <c r="E52" s="307"/>
      <c r="F52" s="305">
        <f t="shared" si="0"/>
        <v>40</v>
      </c>
      <c r="G52" s="306"/>
    </row>
    <row r="53" spans="1:7" ht="12.75">
      <c r="A53" s="303">
        <v>41</v>
      </c>
      <c r="B53" s="410" t="s">
        <v>380</v>
      </c>
      <c r="C53" s="410"/>
      <c r="D53" s="307">
        <v>80</v>
      </c>
      <c r="E53" s="307"/>
      <c r="F53" s="305">
        <f t="shared" si="0"/>
        <v>80</v>
      </c>
      <c r="G53" s="306"/>
    </row>
    <row r="54" spans="1:7" ht="12.75">
      <c r="A54" s="303">
        <v>42</v>
      </c>
      <c r="B54" s="410" t="s">
        <v>381</v>
      </c>
      <c r="C54" s="410"/>
      <c r="D54" s="307">
        <v>30</v>
      </c>
      <c r="E54" s="307">
        <v>40</v>
      </c>
      <c r="F54" s="305">
        <f t="shared" si="0"/>
        <v>70</v>
      </c>
      <c r="G54" s="306"/>
    </row>
    <row r="55" spans="1:7" ht="12.75">
      <c r="A55" s="303">
        <v>43</v>
      </c>
      <c r="B55" s="410" t="s">
        <v>382</v>
      </c>
      <c r="C55" s="410"/>
      <c r="D55" s="307">
        <v>35</v>
      </c>
      <c r="E55" s="307">
        <v>30</v>
      </c>
      <c r="F55" s="305">
        <f t="shared" si="0"/>
        <v>65</v>
      </c>
      <c r="G55" s="306"/>
    </row>
    <row r="56" spans="1:7" ht="12.75">
      <c r="A56" s="303">
        <v>44</v>
      </c>
      <c r="B56" s="410" t="s">
        <v>383</v>
      </c>
      <c r="C56" s="410"/>
      <c r="D56" s="307">
        <v>30</v>
      </c>
      <c r="E56" s="307">
        <v>35</v>
      </c>
      <c r="F56" s="305">
        <f t="shared" si="0"/>
        <v>65</v>
      </c>
      <c r="G56" s="306"/>
    </row>
    <row r="57" spans="1:7" ht="12.75">
      <c r="A57" s="303">
        <v>45</v>
      </c>
      <c r="B57" s="410" t="s">
        <v>165</v>
      </c>
      <c r="C57" s="410"/>
      <c r="D57" s="307">
        <v>30</v>
      </c>
      <c r="E57" s="307"/>
      <c r="F57" s="305">
        <f t="shared" si="0"/>
        <v>30</v>
      </c>
      <c r="G57" s="306"/>
    </row>
    <row r="58" spans="1:7" s="308" customFormat="1" ht="12.75">
      <c r="A58" s="411" t="s">
        <v>384</v>
      </c>
      <c r="B58" s="411"/>
      <c r="C58" s="411"/>
      <c r="D58" s="305">
        <f>SUM(D41:D57)</f>
        <v>821</v>
      </c>
      <c r="E58" s="305">
        <f>SUM(E41:E57)</f>
        <v>311</v>
      </c>
      <c r="F58" s="305">
        <f t="shared" si="0"/>
        <v>1132</v>
      </c>
      <c r="G58" s="306"/>
    </row>
    <row r="59" spans="1:7" s="308" customFormat="1" ht="12.75">
      <c r="A59" s="411" t="s">
        <v>385</v>
      </c>
      <c r="B59" s="411"/>
      <c r="C59" s="411"/>
      <c r="D59" s="305">
        <f>D58+D40</f>
        <v>3310.294</v>
      </c>
      <c r="E59" s="305">
        <f>E58+E40</f>
        <v>2755</v>
      </c>
      <c r="F59" s="305">
        <f t="shared" si="0"/>
        <v>6065.294</v>
      </c>
      <c r="G59" s="306"/>
    </row>
    <row r="61" ht="12.75">
      <c r="F61" s="306"/>
    </row>
    <row r="76" ht="12.75">
      <c r="B76" s="285"/>
    </row>
  </sheetData>
  <mergeCells count="59">
    <mergeCell ref="A5:F5"/>
    <mergeCell ref="A7:A10"/>
    <mergeCell ref="B7:C7"/>
    <mergeCell ref="F7:F11"/>
    <mergeCell ref="B8:C8"/>
    <mergeCell ref="B9:C9"/>
    <mergeCell ref="D9:D10"/>
    <mergeCell ref="E9:E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6:C46"/>
    <mergeCell ref="B47:C47"/>
    <mergeCell ref="A40:C40"/>
    <mergeCell ref="B41:C41"/>
    <mergeCell ref="B42:C42"/>
    <mergeCell ref="B43:C43"/>
    <mergeCell ref="A58:C58"/>
    <mergeCell ref="A59:C59"/>
    <mergeCell ref="B52:C52"/>
    <mergeCell ref="B53:C53"/>
    <mergeCell ref="B54:C54"/>
    <mergeCell ref="B55:C55"/>
    <mergeCell ref="D1:F1"/>
    <mergeCell ref="D2:F2"/>
    <mergeCell ref="B56:C56"/>
    <mergeCell ref="B57:C57"/>
    <mergeCell ref="B48:C48"/>
    <mergeCell ref="B49:C49"/>
    <mergeCell ref="B50:C50"/>
    <mergeCell ref="B51:C51"/>
    <mergeCell ref="B44:C44"/>
    <mergeCell ref="B45:C45"/>
  </mergeCells>
  <printOptions/>
  <pageMargins left="0.75" right="0.23" top="0.26" bottom="0.19" header="0.24" footer="0.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GopciyVM05</cp:lastModifiedBy>
  <cp:lastPrinted>2010-05-25T09:28:21Z</cp:lastPrinted>
  <dcterms:created xsi:type="dcterms:W3CDTF">2003-12-10T21:35:36Z</dcterms:created>
  <dcterms:modified xsi:type="dcterms:W3CDTF">2010-05-25T09:28:43Z</dcterms:modified>
  <cp:category/>
  <cp:version/>
  <cp:contentType/>
  <cp:contentStatus/>
</cp:coreProperties>
</file>