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>
    <definedName name="_xlnm._FilterDatabase" localSheetId="2" hidden="1">'№3'!$A$14:$BF$116</definedName>
    <definedName name="Pfujkjdrb_lkz_gtxfnb">'№1'!$7:$9</definedName>
    <definedName name="Z_1D767D7F_3A7F_4027_AABF_9FB18720D692_.wvu.Cols" localSheetId="1" hidden="1">'№2'!#REF!,'№2'!$I:$I</definedName>
    <definedName name="Z_1D767D7F_3A7F_4027_AABF_9FB18720D692_.wvu.Cols" localSheetId="2" hidden="1">'№3'!#REF!,'№3'!$I:$I</definedName>
    <definedName name="Z_1D767D7F_3A7F_4027_AABF_9FB18720D692_.wvu.Cols" localSheetId="4" hidden="1">'№5'!$H:$H,'№5'!$L:$N</definedName>
    <definedName name="Z_1D767D7F_3A7F_4027_AABF_9FB18720D692_.wvu.FilterData" localSheetId="2" hidden="1">'№3'!$A$14:$BF$116</definedName>
    <definedName name="Z_1D767D7F_3A7F_4027_AABF_9FB18720D692_.wvu.PrintArea" localSheetId="0" hidden="1">'№1'!$A$1:$F$56</definedName>
    <definedName name="Z_1D767D7F_3A7F_4027_AABF_9FB18720D692_.wvu.PrintArea" localSheetId="1" hidden="1">'№2'!$A$1:$J$83</definedName>
    <definedName name="Z_1D767D7F_3A7F_4027_AABF_9FB18720D692_.wvu.PrintArea" localSheetId="2" hidden="1">'№3'!$A$1:$J$114</definedName>
    <definedName name="Z_1D767D7F_3A7F_4027_AABF_9FB18720D692_.wvu.PrintArea" localSheetId="4" hidden="1">'№5'!$A$1:$D$57</definedName>
    <definedName name="Z_1D767D7F_3A7F_4027_AABF_9FB18720D692_.wvu.PrintTitles" localSheetId="0" hidden="1">'№1'!$7:$9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PrintTitles" localSheetId="3" hidden="1">'№4'!$A:$A</definedName>
    <definedName name="Z_1D767D7F_3A7F_4027_AABF_9FB18720D692_.wvu.Rows" localSheetId="0" hidden="1">'№1'!$6:$6,'№1'!#REF!,'№1'!$33:$34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'№3'!$1:$3,'№3'!#REF!,'№3'!#REF!,'№3'!#REF!,'№3'!#REF!,'№3'!#REF!,'№3'!$45:$45,'№3'!#REF!,'№3'!#REF!,'№3'!#REF!,'№3'!$56:$59,'№3'!#REF!,'№3'!#REF!,'№3'!#REF!,'№3'!$78:$78,'№3'!$83:$90,'№3'!#REF!,'№3'!$95:$95</definedName>
    <definedName name="Z_1D767D7F_3A7F_4027_AABF_9FB18720D692_.wvu.Rows" localSheetId="4" hidden="1">'№5'!$12:$12,'№5'!$14:$14,'№5'!$16:$16,'№5'!$18:$18,'№5'!$20:$20,'№5'!$22:$24,'№5'!$26:$26,'№5'!$28:$31,'№5'!$33:$35,'№5'!$38:$41,'№5'!$43:$49,'№5'!$51:$55</definedName>
    <definedName name="Z_320DDB09_FBA8_4E1A_90A7_41493CE887A1_.wvu.Cols" localSheetId="1" hidden="1">'№2'!#REF!,'№2'!$I:$I</definedName>
    <definedName name="Z_320DDB09_FBA8_4E1A_90A7_41493CE887A1_.wvu.Cols" localSheetId="2" hidden="1">'№3'!#REF!,'№3'!$I:$I</definedName>
    <definedName name="Z_320DDB09_FBA8_4E1A_90A7_41493CE887A1_.wvu.FilterData" localSheetId="2" hidden="1">'№3'!$A$15:$A$97</definedName>
    <definedName name="Z_320DDB09_FBA8_4E1A_90A7_41493CE887A1_.wvu.PrintArea" localSheetId="1" hidden="1">'№2'!$A$1:$J$76</definedName>
    <definedName name="Z_320DDB09_FBA8_4E1A_90A7_41493CE887A1_.wvu.PrintArea" localSheetId="2" hidden="1">'№3'!$A$1:$J$96</definedName>
    <definedName name="Z_320DDB09_FBA8_4E1A_90A7_41493CE887A1_.wvu.Rows" localSheetId="1" hidden="1">'№2'!#REF!,'№2'!$36:$36,'№2'!#REF!,'№2'!#REF!,'№2'!$55:$55,'№2'!#REF!,'№2'!#REF!,'№2'!$58:$58,'№2'!$59:$59,'№2'!$63:$63,'№2'!#REF!,'№2'!#REF!,'№2'!#REF!,'№2'!#REF!,'№2'!#REF!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'№2'!#REF!,'№2'!$I:$I</definedName>
    <definedName name="Z_55FBEA9C_3FBC_4C2C_9CDD_81DB4A50B154_.wvu.Cols" localSheetId="2" hidden="1">'№3'!#REF!,'№3'!$I:$I</definedName>
    <definedName name="Z_55FBEA9C_3FBC_4C2C_9CDD_81DB4A50B154_.wvu.FilterData" localSheetId="2" hidden="1">'№3'!$A$14:$BF$97</definedName>
    <definedName name="Z_55FBEA9C_3FBC_4C2C_9CDD_81DB4A50B154_.wvu.PrintArea" localSheetId="1" hidden="1">'№2'!$A$1:$J$77</definedName>
    <definedName name="Z_55FBEA9C_3FBC_4C2C_9CDD_81DB4A50B154_.wvu.PrintArea" localSheetId="2" hidden="1">'№3'!$A$1:$J$104</definedName>
    <definedName name="Z_55FBEA9C_3FBC_4C2C_9CDD_81DB4A50B154_.wvu.Rows" localSheetId="1" hidden="1">'№2'!#REF!,'№2'!#REF!,'№2'!$36:$36,'№2'!$42:$44,'№2'!$50:$50,'№2'!$52:$52,'№2'!#REF!,'№2'!$55:$55,'№2'!#REF!,'№2'!#REF!,'№2'!$58:$58,'№2'!$59:$59,'№2'!$63:$63,'№2'!#REF!,'№2'!#REF!,'№2'!#REF!,'№2'!#REF!,'№2'!#REF!</definedName>
    <definedName name="Z_55FBEA9C_3FBC_4C2C_9CDD_81DB4A50B154_.wvu.Rows" localSheetId="2" hidden="1">'№3'!$1:$3,'№3'!#REF!,'№3'!#REF!,'№3'!$23:$23,'№3'!#REF!,'№3'!#REF!,'№3'!$26:$26,'№3'!$30:$30,'№3'!#REF!,'№3'!$32:$33,'№3'!$39:$39,'№3'!$41:$42,'№3'!#REF!,'№3'!$46:$51,'№3'!#REF!,'№3'!$59:$64,'№3'!#REF!,'№3'!$70:$82,'№3'!#REF!</definedName>
    <definedName name="Z_8182C82F_4179_437B_82A5_A0F1DB59C261_.wvu.FilterData" localSheetId="2" hidden="1">'№3'!$A$15:$A$97</definedName>
    <definedName name="Z_A47C3E8F_8E3D_438E_864D_FF8A86EB29FB_.wvu.PrintArea" localSheetId="1" hidden="1">'№2'!$A$1:$L$77</definedName>
    <definedName name="Z_AD77E662_1A59_48FE_B650_EFF948C00338_.wvu.FilterData" localSheetId="2" hidden="1">'№3'!$A$15:$A$97</definedName>
    <definedName name="Z_BB919BB1_78FC_411F_B89B_EE52A9A99CCD_.wvu.Cols" localSheetId="1" hidden="1">'№2'!#REF!,'№2'!$I:$I</definedName>
    <definedName name="Z_BB919BB1_78FC_411F_B89B_EE52A9A99CCD_.wvu.Cols" localSheetId="2" hidden="1">'№3'!#REF!,'№3'!$I:$I</definedName>
    <definedName name="Z_BB919BB1_78FC_411F_B89B_EE52A9A99CCD_.wvu.FilterData" localSheetId="2" hidden="1">'№3'!$A$14:$BF$97</definedName>
    <definedName name="Z_BB919BB1_78FC_411F_B89B_EE52A9A99CCD_.wvu.PrintArea" localSheetId="1" hidden="1">'№2'!$A$1:$J$77</definedName>
    <definedName name="Z_BB919BB1_78FC_411F_B89B_EE52A9A99CCD_.wvu.PrintArea" localSheetId="2" hidden="1">'№3'!$A$1:$J$96</definedName>
    <definedName name="Z_BB919BB1_78FC_411F_B89B_EE52A9A99CCD_.wvu.Rows" localSheetId="1" hidden="1">'№2'!#REF!,'№2'!#REF!,'№2'!$36:$36,'№2'!$38:$39,'№2'!$42:$44,'№2'!$50:$50,'№2'!$52:$52,'№2'!#REF!,'№2'!#REF!,'№2'!$55:$55,'№2'!#REF!,'№2'!#REF!,'№2'!$58:$59,'№2'!$63:$74,'№2'!#REF!,'№2'!#REF!</definedName>
    <definedName name="Z_BB919BB1_78FC_411F_B89B_EE52A9A99CCD_.wvu.Rows" localSheetId="2" hidden="1">'№3'!$1:$3,'№3'!#REF!,'№3'!$22:$23,'№3'!#REF!,'№3'!#REF!,'№3'!$26:$26,'№3'!$30:$30,'№3'!#REF!,'№3'!$32:$33,'№3'!$39:$39,'№3'!$41:$42,'№3'!#REF!,'№3'!$46:$51,'№3'!#REF!,'№3'!$59:$64,'№3'!#REF!,'№3'!$70:$82,'№3'!#REF!,'№3'!#REF!,'№3'!#REF!,'№3'!#REF!,'№3'!#REF!,'№3'!$92:$93,'№3'!#REF!</definedName>
    <definedName name="Z_C0D6CD41_0FD1_49C4_B712_F128344CF647_.wvu.Cols" localSheetId="1" hidden="1">'№2'!#REF!,'№2'!$I:$I</definedName>
    <definedName name="Z_C0D6CD41_0FD1_49C4_B712_F128344CF647_.wvu.Cols" localSheetId="2" hidden="1">'№3'!#REF!,'№3'!$I:$I</definedName>
    <definedName name="Z_C0D6CD41_0FD1_49C4_B712_F128344CF647_.wvu.Cols" localSheetId="4" hidden="1">'№5'!$H:$H,'№5'!$L:$N</definedName>
    <definedName name="Z_C0D6CD41_0FD1_49C4_B712_F128344CF647_.wvu.FilterData" localSheetId="2" hidden="1">'№3'!$A$14:$BF$116</definedName>
    <definedName name="Z_C0D6CD41_0FD1_49C4_B712_F128344CF647_.wvu.PrintArea" localSheetId="0" hidden="1">'№1'!$A$1:$F$56</definedName>
    <definedName name="Z_C0D6CD41_0FD1_49C4_B712_F128344CF647_.wvu.PrintArea" localSheetId="1" hidden="1">'№2'!$A$1:$J$83</definedName>
    <definedName name="Z_C0D6CD41_0FD1_49C4_B712_F128344CF647_.wvu.PrintArea" localSheetId="2" hidden="1">'№3'!$A$1:$J$114</definedName>
    <definedName name="Z_C0D6CD41_0FD1_49C4_B712_F128344CF647_.wvu.PrintArea" localSheetId="4" hidden="1">'№5'!$A$1:$D$57</definedName>
    <definedName name="Z_C0D6CD41_0FD1_49C4_B712_F128344CF647_.wvu.PrintTitles" localSheetId="0" hidden="1">'№1'!$7:$9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PrintTitles" localSheetId="3" hidden="1">'№4'!$A:$A</definedName>
    <definedName name="Z_C0D6CD41_0FD1_49C4_B712_F128344CF647_.wvu.Rows" localSheetId="0" hidden="1">'№1'!$6:$6,'№1'!$21:$21,'№1'!#REF!,'№1'!$33:$34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'№3'!$1:$3,'№3'!#REF!,'№3'!#REF!,'№3'!#REF!,'№3'!#REF!,'№3'!#REF!,'№3'!$45:$45,'№3'!#REF!,'№3'!#REF!,'№3'!#REF!,'№3'!$56:$59,'№3'!#REF!,'№3'!#REF!,'№3'!#REF!,'№3'!$78:$78,'№3'!$83:$90,'№3'!#REF!,'№3'!$95:$95</definedName>
    <definedName name="Z_C0D6CD41_0FD1_49C4_B712_F128344CF647_.wvu.Rows" localSheetId="4" hidden="1">'№5'!$12:$12,'№5'!$14:$14,'№5'!$16:$16,'№5'!$18:$18,'№5'!$20:$20,'№5'!$22:$24,'№5'!$26:$26,'№5'!$28:$31,'№5'!$33:$35,'№5'!$38:$41,'№5'!$43:$49,'№5'!$51:$55</definedName>
    <definedName name="Z_CDF83A7A_6F8D_4548_8D63_D97509A38F07_.wvu.Cols" localSheetId="1" hidden="1">'№2'!#REF!,'№2'!$I:$I</definedName>
    <definedName name="Z_CDF83A7A_6F8D_4548_8D63_D97509A38F07_.wvu.Cols" localSheetId="2" hidden="1">'№3'!#REF!,'№3'!$I:$I</definedName>
    <definedName name="Z_CDF83A7A_6F8D_4548_8D63_D97509A38F07_.wvu.Cols" localSheetId="4" hidden="1">'№5'!$H:$H,'№5'!$L:$N</definedName>
    <definedName name="Z_CDF83A7A_6F8D_4548_8D63_D97509A38F07_.wvu.FilterData" localSheetId="2" hidden="1">'№3'!$A$14:$BF$116</definedName>
    <definedName name="Z_CDF83A7A_6F8D_4548_8D63_D97509A38F07_.wvu.PrintArea" localSheetId="0" hidden="1">'№1'!$A$1:$F$56</definedName>
    <definedName name="Z_CDF83A7A_6F8D_4548_8D63_D97509A38F07_.wvu.PrintArea" localSheetId="1" hidden="1">'№2'!$A$1:$J$83</definedName>
    <definedName name="Z_CDF83A7A_6F8D_4548_8D63_D97509A38F07_.wvu.PrintArea" localSheetId="2" hidden="1">'№3'!$A$1:$J$114</definedName>
    <definedName name="Z_CDF83A7A_6F8D_4548_8D63_D97509A38F07_.wvu.PrintArea" localSheetId="4" hidden="1">'№5'!$A$1:$D$57</definedName>
    <definedName name="Z_CDF83A7A_6F8D_4548_8D63_D97509A38F07_.wvu.PrintTitles" localSheetId="0" hidden="1">'№1'!$7:$9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PrintTitles" localSheetId="3" hidden="1">'№4'!$A:$A</definedName>
    <definedName name="Z_CDF83A7A_6F8D_4548_8D63_D97509A38F07_.wvu.Rows" localSheetId="0" hidden="1">'№1'!$6:$6,'№1'!#REF!,'№1'!$33:$34,'№1'!#REF!,'№1'!#REF!,'№1'!#REF!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$58:$58,'№2'!#REF!,'№2'!#REF!,'№2'!#REF!,'№2'!$76:$76,'№2'!#REF!,'№2'!$80:$82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$45:$45,'№3'!#REF!,'№3'!#REF!,'№3'!#REF!,'№3'!$56:$59,'№3'!#REF!,'№3'!#REF!,'№3'!#REF!,'№3'!#REF!,'№3'!#REF!,'№3'!$78:$78,'№3'!#REF!,'№3'!$83:$90,'№3'!#REF!,'№3'!$95:$95,'№3'!#REF!,'№3'!#REF!,'№3'!#REF!,'№3'!#REF!,'№3'!#REF!,'№3'!#REF!,'№3'!#REF!,'№3'!$112:$113</definedName>
    <definedName name="Z_CDF83A7A_6F8D_4548_8D63_D97509A38F07_.wvu.Rows" localSheetId="4" hidden="1">'№5'!$12:$12,'№5'!$14:$14,'№5'!$16:$16,'№5'!$18:$18,'№5'!$20:$20,'№5'!$22:$24,'№5'!$26:$26,'№5'!$28:$31,'№5'!$33:$35,'№5'!$38:$41,'№5'!$43:$49,'№5'!$51:$55</definedName>
    <definedName name="Z_D733478A_EE58_449F_AC74_766E540A8B9D_.wvu.FilterData" localSheetId="2" hidden="1">'№3'!$A$15:$A$97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'№1'!$A$1:$F$56</definedName>
    <definedName name="_xlnm.Print_Area" localSheetId="1">'№2'!$A$1:$J$83</definedName>
    <definedName name="_xlnm.Print_Area" localSheetId="2">'№3'!$A$1:$J$114</definedName>
    <definedName name="_xlnm.Print_Area" localSheetId="4">'№5'!$A$1:$D$57</definedName>
  </definedNames>
  <calcPr fullCalcOnLoad="1"/>
</workbook>
</file>

<file path=xl/sharedStrings.xml><?xml version="1.0" encoding="utf-8"?>
<sst xmlns="http://schemas.openxmlformats.org/spreadsheetml/2006/main" count="606" uniqueCount="360">
  <si>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</si>
  <si>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</si>
  <si>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</si>
  <si>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</si>
  <si>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</si>
  <si>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</si>
  <si>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43010000</t>
  </si>
  <si>
    <t>Главное управление здравоохранения облгосадминистрации</t>
  </si>
  <si>
    <t>Управление образования и науки облгосадминистрации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</si>
  <si>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</si>
  <si>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</si>
  <si>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</si>
  <si>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</si>
  <si>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</si>
  <si>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</si>
  <si>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</si>
  <si>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</si>
  <si>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</si>
  <si>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</si>
  <si>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</si>
  <si>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</si>
  <si>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</si>
  <si>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</si>
  <si>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</si>
  <si>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</si>
  <si>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</si>
  <si>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</si>
  <si>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</si>
  <si>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</si>
  <si>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</si>
  <si>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</si>
  <si>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</si>
  <si>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</si>
  <si>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</si>
  <si>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</si>
  <si>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</si>
  <si>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</si>
  <si>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</si>
  <si>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</si>
  <si>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</si>
  <si>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</si>
  <si>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</si>
  <si>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</si>
  <si>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</si>
  <si>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</si>
  <si>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</si>
  <si>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</si>
  <si>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</si>
  <si>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</si>
  <si>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</si>
  <si>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</si>
  <si>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Культура и искусство, в том числе</t>
  </si>
  <si>
    <t>110102</t>
  </si>
  <si>
    <t>Театры</t>
  </si>
  <si>
    <t>110103</t>
  </si>
  <si>
    <t>Филармонии, музыкальные коллективы и ансамбли  и прочие мероприятия и учреждения по искусству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</si>
  <si>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</si>
  <si>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</si>
  <si>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</si>
  <si>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</si>
  <si>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250403</t>
  </si>
  <si>
    <t>250344</t>
  </si>
  <si>
    <t>250328</t>
  </si>
  <si>
    <t>250329</t>
  </si>
  <si>
    <t>250330</t>
  </si>
  <si>
    <t>250380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</si>
  <si>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вывоза бытового мусора и жидких нечистот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</si>
  <si>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 принципу "деньги ходят за ребенком"  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</si>
  <si>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</si>
  <si>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финансирование в 2009 году Программ-победителей Всеукраинского конкурса проектов и программ развития местного самоуправления 2008 года</t>
  </si>
  <si>
    <t>Дотация на выравнивание финансовой обеспеченности местных бюджетов</t>
  </si>
  <si>
    <t>41036300</t>
  </si>
  <si>
    <t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</t>
  </si>
  <si>
    <t>Высшие учреждения образования III и IV уровней аккредитации</t>
  </si>
  <si>
    <t>091108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</si>
  <si>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</si>
  <si>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>090212</t>
  </si>
  <si>
    <t>Льготы на медицинское обслуживание гражданам, пострадавшим вследствие Чернобыльской катастрофы</t>
  </si>
  <si>
    <t>Образование (высшие учреждения образования І-ІІ уровней аккредитации; прочие учреждения и мероприятия последипломного образования) , в т.ч.</t>
  </si>
  <si>
    <t>Здравоохранение (содержание лечебно-профилактических учреждений, проведение мероприятий и выполнение программ), в т.ч.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</si>
  <si>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</si>
  <si>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доходи</t>
  </si>
  <si>
    <t>отклонения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</si>
  <si>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</si>
  <si>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</si>
  <si>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</si>
  <si>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41034300</t>
  </si>
  <si>
    <t>41032300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</si>
  <si>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строительства газопроводов и газификацию населенных пунктов    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</si>
  <si>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виплатам, передусмотренным статьей 57 Закона Украины "Об образовании" педагогическим, научно - педагогическим и другим категориям работников учебных заведений"</t>
  </si>
  <si>
    <t>Образование (учреждения образования, программы и мероприятия в сфере образования), в том числе:</t>
  </si>
  <si>
    <t>Социальные программы и мероприятия государственных органов по делам молодежи</t>
  </si>
  <si>
    <t>110502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</si>
  <si>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</si>
  <si>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Высшие учреждения образования І-ІІ уровней аккредитации</t>
  </si>
  <si>
    <t>080400</t>
  </si>
  <si>
    <t>180109</t>
  </si>
  <si>
    <t>250404</t>
  </si>
  <si>
    <t>090417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</si>
  <si>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</si>
  <si>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>Расходы на содержание учреждений соцобеспечения и отдельные мероприятия по социальной защите</t>
  </si>
  <si>
    <t>090412, 090416, 090601, 090901, 091207, 091209, 091210, 091212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</si>
  <si>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</si>
  <si>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</si>
  <si>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</si>
  <si>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</si>
  <si>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</si>
  <si>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</si>
  <si>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</si>
  <si>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</si>
  <si>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</si>
  <si>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</si>
  <si>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</si>
  <si>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</si>
  <si>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</si>
  <si>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</si>
  <si>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 xml:space="preserve">Специализированные поликлиники  (врачебно-физкультурный диспансер) </t>
  </si>
  <si>
    <t>в том числе:</t>
  </si>
  <si>
    <t>Приложение 4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</si>
  <si>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</si>
  <si>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</si>
  <si>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</si>
  <si>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</si>
  <si>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</si>
  <si>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</si>
  <si>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</si>
  <si>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работникам учебных заведений"</t>
  </si>
  <si>
    <t>компенсация за льготный проезд в городском и пригородном электро- и автотранспорте отдельных категорий граждан</t>
  </si>
  <si>
    <t>компенсация за льготный проезд в железнодорожном транспорте пригородного сообщения отдельных категорий граждан</t>
  </si>
  <si>
    <t>льготы на услуги связи</t>
  </si>
  <si>
    <t>компенсация за льготный проезд междугороднего сообщения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</si>
  <si>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ЧАЕС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</si>
  <si>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</si>
  <si>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</si>
  <si>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</si>
  <si>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</si>
  <si>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</si>
  <si>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</si>
  <si>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</si>
  <si>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</si>
  <si>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</si>
  <si>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</si>
  <si>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</si>
  <si>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</si>
  <si>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</si>
  <si>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</si>
  <si>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</si>
  <si>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</si>
  <si>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</si>
  <si>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</si>
  <si>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</si>
  <si>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</si>
  <si>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</si>
  <si>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</si>
  <si>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</si>
  <si>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</si>
  <si>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</si>
  <si>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</si>
  <si>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</si>
  <si>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</si>
  <si>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</si>
  <si>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</si>
  <si>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</si>
  <si>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</si>
  <si>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</si>
  <si>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</si>
  <si>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</si>
  <si>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</si>
  <si>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</si>
  <si>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</si>
  <si>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</si>
  <si>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</si>
  <si>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</si>
  <si>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</si>
  <si>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</si>
  <si>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</si>
  <si>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</si>
  <si>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</si>
  <si>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</si>
  <si>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</si>
  <si>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</si>
  <si>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</si>
  <si>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 xml:space="preserve">Субвенции из областного бюджета бюджетам городов и районов </t>
  </si>
  <si>
    <t xml:space="preserve">на содержание приютов для несовершеннолетних                             </t>
  </si>
  <si>
    <t>Итого</t>
  </si>
  <si>
    <t>Харцызск</t>
  </si>
  <si>
    <t>В-Новоселковский</t>
  </si>
  <si>
    <t>Областной</t>
  </si>
  <si>
    <t>130000</t>
  </si>
  <si>
    <t>110201</t>
  </si>
  <si>
    <t>110300</t>
  </si>
  <si>
    <t>120300</t>
  </si>
  <si>
    <t>070601</t>
  </si>
  <si>
    <t>170703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</si>
  <si>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</si>
  <si>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</si>
  <si>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</si>
  <si>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</si>
  <si>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Главное финансовое управление облгосадминистрации</t>
  </si>
  <si>
    <t>Высшие учебные заведения III-IV уровня акредитации</t>
  </si>
  <si>
    <t xml:space="preserve"> 070602</t>
  </si>
  <si>
    <t xml:space="preserve">Программа "Образование Донбасса. 2007-2011 гг." 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</si>
  <si>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</si>
  <si>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</si>
  <si>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</si>
  <si>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</si>
  <si>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</si>
  <si>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</si>
  <si>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</si>
  <si>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</si>
  <si>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</si>
  <si>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</si>
  <si>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</si>
  <si>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</si>
  <si>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</si>
  <si>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</si>
  <si>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</si>
  <si>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</si>
  <si>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</si>
  <si>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</si>
  <si>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</si>
  <si>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</si>
  <si>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</si>
  <si>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</si>
  <si>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</si>
  <si>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070000</t>
  </si>
  <si>
    <t>Образование</t>
  </si>
  <si>
    <t>080000</t>
  </si>
  <si>
    <t>Здравоохранение</t>
  </si>
  <si>
    <t>250343</t>
  </si>
  <si>
    <t>250382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</si>
  <si>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</si>
  <si>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</si>
  <si>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</si>
  <si>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</si>
  <si>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</si>
  <si>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</si>
  <si>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</si>
  <si>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</si>
  <si>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Жилищно-коммунальное хозяйство</t>
  </si>
  <si>
    <t>Кинематография</t>
  </si>
  <si>
    <t>Средства массовой информации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</si>
  <si>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</si>
  <si>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</si>
  <si>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</si>
  <si>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</si>
  <si>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</si>
  <si>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</si>
  <si>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</si>
  <si>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</si>
  <si>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</si>
  <si>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</si>
  <si>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</si>
  <si>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</si>
  <si>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</si>
  <si>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Главное управление капитального строительства облгосадминистрации</t>
  </si>
  <si>
    <t>общий фонд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</si>
  <si>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</si>
  <si>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</si>
  <si>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</si>
  <si>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</si>
  <si>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</si>
  <si>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Название главного распорядителя кредитов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</si>
  <si>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</si>
  <si>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</si>
  <si>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</si>
  <si>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</si>
  <si>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Детско-юношеская спортивная школа главного  управления образования и науки</t>
  </si>
  <si>
    <t>Библиотеки</t>
  </si>
  <si>
    <t>Помощь по уходу за инвалидами I или II группы вследствие психического расстройства</t>
  </si>
  <si>
    <t>всего</t>
  </si>
  <si>
    <t>41020600</t>
  </si>
  <si>
    <t>081009</t>
  </si>
  <si>
    <t>Мероприятия комплексной программы "Сахарный диабет" и лечение несахарного диабета</t>
  </si>
  <si>
    <t xml:space="preserve">240601  240602  240603  240604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</si>
  <si>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</si>
  <si>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41035800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</si>
  <si>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</si>
  <si>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081011</t>
  </si>
  <si>
    <t>091303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</si>
  <si>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</si>
  <si>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Установка телефонов инвалидам I и II групп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</si>
  <si>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</si>
  <si>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программа "Образование Донбасса. 2007-2011 гг." 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</si>
  <si>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</si>
  <si>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</si>
  <si>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 xml:space="preserve">Установка телефонам инвалидам I и II групп </t>
  </si>
  <si>
    <t>110105</t>
  </si>
  <si>
    <t>Финансовая поддержка гастрольной деятельности</t>
  </si>
  <si>
    <t>250313</t>
  </si>
  <si>
    <t>Дополнительная дотация из государственного бюджета на выравнивание финансовой обеспеченности местных бюджетов</t>
  </si>
  <si>
    <t>250339</t>
  </si>
  <si>
    <t>250376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</si>
  <si>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</si>
  <si>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</si>
  <si>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по главным распорядителям средств</t>
  </si>
  <si>
    <t>Субвенция из местного бюджета государственному бюджету на выполнение программ социально-экономического и культурного развития региона</t>
  </si>
  <si>
    <t>Филармонии, музыкальные коллективы и ансамбли  и прочие мероприятия и учреждения искусства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</si>
  <si>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</si>
  <si>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</si>
  <si>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</si>
  <si>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Управление по вопросам чрезвычайных ситуаций и по делам защиты населения от последствий Чернобыльской катастрофы облгосадминистрации</t>
  </si>
  <si>
    <t>Программа развития земельных отношений и охраны земель в Донецкой области на 2006-2010 годы</t>
  </si>
  <si>
    <t>Прил.2</t>
  </si>
  <si>
    <t>250102</t>
  </si>
  <si>
    <t>Донецкое областное производственное объединение "Киновидеопрокат"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</si>
  <si>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</si>
  <si>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</si>
  <si>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</si>
  <si>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</si>
  <si>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</si>
  <si>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</si>
  <si>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</si>
  <si>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</si>
  <si>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</si>
  <si>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</si>
  <si>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Реализация отдельных природоохранных мероприятий</t>
  </si>
  <si>
    <t>Управление по делам прессы и информации облгосадминистрации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</si>
  <si>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транспортирова- лись и поставлялись населению, образовавшейся в связи с несоответствием фактической стоимости тепловой энергии, услуг по водоснабжению и водоотведению тарифам, утвержденным органами государственной власти и органами местного самоуправления</t>
  </si>
  <si>
    <t>41036600</t>
  </si>
  <si>
    <t>250383</t>
  </si>
  <si>
    <t>100601</t>
  </si>
  <si>
    <t>Распределение расходов областного бюджета на 2009 год</t>
  </si>
  <si>
    <t>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образовавшейся в связи с несоответствием фактической стоимости тепловой энергии, услуг по водоснабжению и водоотведению тарифам, утвержденным органами государственной власти или органами местного самоуправления</t>
  </si>
  <si>
    <t>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 образовавшейся в связи с несоответствием фактической стоимости тепловой энергии, услуг по водоснабжению и водоотведению тарифам, утвержденным органами государственной власти или органами местного самоуправления</t>
  </si>
  <si>
    <t xml:space="preserve">Субвенция из государственного бюджета местным бюджетам на предоставление льгот  и жилищных субсидий населению наприобретение твердого и редкого печного  бытового топлива и сжиженого газа 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</si>
  <si>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водоотве- дению, которые вырабатывались, транспортирова- лись и поставлялись населению, образовавшейся в связи с несоответствием фактической стоимости тепловой энергии, услуг по водоснабжению и водоотведению тарифам, утвержденным органами государственной власти и органами местного самоуправления</t>
  </si>
  <si>
    <t>Субвенция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</si>
  <si>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Расходы областного бюджета на 2009 год</t>
  </si>
  <si>
    <t>Доходы областного бюджета на 2009 год</t>
  </si>
  <si>
    <t xml:space="preserve"> Главное упрвление жилищно-коммунального хозяйства облгосадминистрации</t>
  </si>
  <si>
    <t xml:space="preserve">на ликвидацию последствий экономического кризиса и чрезвычайных ситуаций природного характера </t>
  </si>
  <si>
    <t>Управление строительства и архитектуры облгосадминистрации</t>
  </si>
  <si>
    <t>Расходы на покрытие прочих задолженностей, возникших в предшествующие годы</t>
  </si>
  <si>
    <t xml:space="preserve">    210105</t>
  </si>
  <si>
    <t>150202</t>
  </si>
  <si>
    <t>210000</t>
  </si>
  <si>
    <t>на расходы за поставленные и не оплаченные в 2008 году товары, работы и услуги</t>
  </si>
  <si>
    <t xml:space="preserve">Капитальные вложения  в т.ч. </t>
  </si>
  <si>
    <t>150000</t>
  </si>
  <si>
    <t>Расходы на предупреждение и ликвидацию чрезвычайных ситуаций и последствий стихийного бедствия в т.ч.</t>
  </si>
  <si>
    <t>Разработка схем и проектных решений массового применения в т.ч.</t>
  </si>
  <si>
    <t>Предупреждение и ликвидация чрезвычайных ситуаций и последствий стихийного бедствия в т.ч.</t>
  </si>
  <si>
    <t>Высшие учреждения образования 1-II уровней аккредитации в т.ч.</t>
  </si>
  <si>
    <t>100202</t>
  </si>
  <si>
    <t>Водопроводно-канализационное хозяйство</t>
  </si>
  <si>
    <t>Водопроводно-канализационное хозяйство в т.ч.</t>
  </si>
  <si>
    <t>150101</t>
  </si>
  <si>
    <t>171000</t>
  </si>
  <si>
    <t>Деятельность и услуги, не отнесенные к другим категориям</t>
  </si>
  <si>
    <t>120100</t>
  </si>
  <si>
    <t>Телевидение и радиовещание</t>
  </si>
  <si>
    <t>Cредства полученные из общего фонда в бюджет развития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</si>
  <si>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Закона Украины "О Государственном бюджете Украины на 2009 год"</t>
  </si>
  <si>
    <t>150118</t>
  </si>
  <si>
    <t xml:space="preserve">Жилищное строительство и приобретение жилья для отдельных категорий населения  </t>
  </si>
  <si>
    <t>от  22.01.2009   № 5/20-647</t>
  </si>
  <si>
    <t>от 22.01.2009  № 5/20-647</t>
  </si>
  <si>
    <t>от   22.01.2009   № 5/20-647</t>
  </si>
  <si>
    <t xml:space="preserve"> от 22.01.2009 № 5/20-647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</si>
</sst>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172" fontId="3" fillId="0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4" fillId="2" borderId="4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2" borderId="23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vertical="top" wrapText="1"/>
    </xf>
    <xf numFmtId="172" fontId="1" fillId="2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3" fontId="17" fillId="0" borderId="26" xfId="0" applyNumberFormat="1" applyFont="1" applyFill="1" applyBorder="1" applyAlignment="1">
      <alignment horizontal="center"/>
    </xf>
    <xf numFmtId="172" fontId="17" fillId="0" borderId="4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2" xfId="0" applyNumberFormat="1" applyFont="1" applyFill="1" applyBorder="1" applyAlignment="1">
      <alignment horizontal="center"/>
    </xf>
    <xf numFmtId="173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9" fillId="0" borderId="4" xfId="15" applyFont="1" applyBorder="1">
      <alignment/>
      <protection/>
    </xf>
    <xf numFmtId="172" fontId="17" fillId="0" borderId="1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2" fontId="17" fillId="0" borderId="28" xfId="0" applyNumberFormat="1" applyFont="1" applyBorder="1" applyAlignment="1">
      <alignment horizontal="center" vertical="center" wrapText="1"/>
    </xf>
    <xf numFmtId="172" fontId="17" fillId="0" borderId="12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1" fillId="0" borderId="29" xfId="0" applyNumberFormat="1" applyFont="1" applyBorder="1" applyAlignment="1">
      <alignment horizontal="center" vertical="center" wrapText="1"/>
    </xf>
    <xf numFmtId="172" fontId="1" fillId="0" borderId="28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172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172" fontId="1" fillId="0" borderId="30" xfId="0" applyNumberFormat="1" applyFont="1" applyBorder="1" applyAlignment="1">
      <alignment horizontal="center" vertical="center" wrapText="1"/>
    </xf>
    <xf numFmtId="172" fontId="1" fillId="0" borderId="26" xfId="0" applyNumberFormat="1" applyFont="1" applyFill="1" applyBorder="1" applyAlignment="1">
      <alignment horizontal="center" vertical="center" wrapText="1"/>
    </xf>
    <xf numFmtId="172" fontId="1" fillId="0" borderId="30" xfId="0" applyNumberFormat="1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 vertical="center" wrapText="1"/>
    </xf>
    <xf numFmtId="172" fontId="17" fillId="0" borderId="26" xfId="0" applyNumberFormat="1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6" xfId="0" applyNumberFormat="1" applyFont="1" applyFill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8" xfId="0" applyNumberFormat="1" applyFont="1" applyBorder="1" applyAlignment="1">
      <alignment horizontal="center"/>
    </xf>
    <xf numFmtId="172" fontId="17" fillId="0" borderId="24" xfId="0" applyNumberFormat="1" applyFont="1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7" fillId="0" borderId="14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172" fontId="2" fillId="0" borderId="3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33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 vertical="center" wrapText="1"/>
    </xf>
    <xf numFmtId="172" fontId="17" fillId="0" borderId="0" xfId="0" applyNumberFormat="1" applyFont="1" applyFill="1" applyAlignment="1">
      <alignment vertical="center"/>
    </xf>
    <xf numFmtId="173" fontId="17" fillId="0" borderId="12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1" fillId="2" borderId="14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>
      <alignment horizontal="right" vertical="top"/>
    </xf>
    <xf numFmtId="172" fontId="17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9" fontId="2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6" fillId="0" borderId="37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39" xfId="0" applyFont="1" applyFill="1" applyBorder="1" applyAlignment="1">
      <alignment horizontal="center" wrapText="1" shrinkToFi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39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9" fontId="23" fillId="0" borderId="39" xfId="0" applyNumberFormat="1" applyFont="1" applyFill="1" applyBorder="1" applyAlignment="1">
      <alignment horizontal="center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9" fontId="23" fillId="0" borderId="8" xfId="0" applyNumberFormat="1" applyFont="1" applyFill="1" applyBorder="1" applyAlignment="1">
      <alignment horizontal="center" vertical="center" wrapText="1"/>
    </xf>
    <xf numFmtId="9" fontId="23" fillId="0" borderId="27" xfId="0" applyNumberFormat="1" applyFont="1" applyFill="1" applyBorder="1" applyAlignment="1">
      <alignment horizontal="center" vertical="center" wrapText="1"/>
    </xf>
    <xf numFmtId="9" fontId="23" fillId="0" borderId="43" xfId="0" applyNumberFormat="1" applyFont="1" applyFill="1" applyBorder="1" applyAlignment="1">
      <alignment horizontal="center" vertical="center" wrapText="1"/>
    </xf>
    <xf numFmtId="172" fontId="23" fillId="0" borderId="8" xfId="0" applyNumberFormat="1" applyFont="1" applyFill="1" applyBorder="1" applyAlignment="1">
      <alignment horizontal="center" vertical="center"/>
    </xf>
    <xf numFmtId="172" fontId="23" fillId="0" borderId="39" xfId="0" applyNumberFormat="1" applyFont="1" applyFill="1" applyBorder="1" applyAlignment="1">
      <alignment horizontal="center" vertical="center"/>
    </xf>
    <xf numFmtId="172" fontId="23" fillId="0" borderId="2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9" fontId="23" fillId="0" borderId="44" xfId="0" applyNumberFormat="1" applyFont="1" applyFill="1" applyBorder="1" applyAlignment="1">
      <alignment horizontal="center" vertical="center" wrapText="1"/>
    </xf>
    <xf numFmtId="9" fontId="23" fillId="0" borderId="25" xfId="0" applyNumberFormat="1" applyFont="1" applyFill="1" applyBorder="1" applyAlignment="1">
      <alignment horizontal="center" vertical="center" wrapText="1"/>
    </xf>
    <xf numFmtId="9" fontId="23" fillId="0" borderId="4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5"/>
  <sheetViews>
    <sheetView view="pageBreakPreview" zoomScale="75" zoomScaleSheetLayoutView="75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" sqref="D3:F3"/>
    </sheetView>
  </sheetViews>
  <sheetFormatPr defaultColWidth="9.00390625" defaultRowHeight="12.75"/>
  <cols>
    <col min="1" max="1" width="12.375" style="90" customWidth="1"/>
    <col min="2" max="2" width="51.375" style="91" customWidth="1"/>
    <col min="3" max="3" width="11.00390625" style="44" customWidth="1"/>
    <col min="4" max="4" width="11.375" style="44" customWidth="1"/>
    <col min="5" max="5" width="10.125" style="44" customWidth="1"/>
    <col min="6" max="6" width="11.375" style="44" customWidth="1"/>
    <col min="7" max="8" width="10.00390625" style="44" bestFit="1" customWidth="1"/>
    <col min="9" max="9" width="9.375" style="44" bestFit="1" customWidth="1"/>
    <col min="10" max="10" width="10.375" style="44" bestFit="1" customWidth="1"/>
    <col min="11" max="11" width="10.00390625" style="44" bestFit="1" customWidth="1"/>
    <col min="12" max="16384" width="9.125" style="44" customWidth="1"/>
  </cols>
  <sheetData>
    <row r="1" spans="2:6" ht="15.75">
      <c r="B1" s="44"/>
      <c r="D1" s="328" t="s">
        <v>307</v>
      </c>
      <c r="E1" s="328"/>
      <c r="F1" s="328"/>
    </row>
    <row r="2" spans="4:6" ht="15.75">
      <c r="D2" s="328" t="s">
        <v>203</v>
      </c>
      <c r="E2" s="328"/>
      <c r="F2" s="328"/>
    </row>
    <row r="3" spans="4:6" ht="15.75">
      <c r="D3" s="328" t="s">
        <v>357</v>
      </c>
      <c r="E3" s="328"/>
      <c r="F3" s="328"/>
    </row>
    <row r="4" spans="1:6" ht="15" customHeight="1">
      <c r="A4" s="329" t="s">
        <v>329</v>
      </c>
      <c r="B4" s="329"/>
      <c r="C4" s="329"/>
      <c r="D4" s="329"/>
      <c r="E4" s="329"/>
      <c r="F4" s="329"/>
    </row>
    <row r="5" ht="13.5" thickBot="1">
      <c r="F5" s="3" t="s">
        <v>37</v>
      </c>
    </row>
    <row r="6" ht="12" customHeight="1" hidden="1" thickBot="1"/>
    <row r="7" spans="1:6" ht="13.5" thickBot="1">
      <c r="A7" s="322" t="s">
        <v>308</v>
      </c>
      <c r="B7" s="324" t="s">
        <v>309</v>
      </c>
      <c r="C7" s="326" t="s">
        <v>310</v>
      </c>
      <c r="D7" s="314" t="s">
        <v>103</v>
      </c>
      <c r="E7" s="315"/>
      <c r="F7" s="316" t="s">
        <v>210</v>
      </c>
    </row>
    <row r="8" spans="1:18" ht="45" customHeight="1" thickBot="1">
      <c r="A8" s="323"/>
      <c r="B8" s="325"/>
      <c r="C8" s="327"/>
      <c r="D8" s="92" t="s">
        <v>270</v>
      </c>
      <c r="E8" s="93" t="s">
        <v>311</v>
      </c>
      <c r="F8" s="317"/>
      <c r="G8" s="6"/>
      <c r="R8" s="6"/>
    </row>
    <row r="9" spans="1:6" ht="13.5" thickBot="1">
      <c r="A9" s="94">
        <v>1</v>
      </c>
      <c r="B9" s="95">
        <v>2</v>
      </c>
      <c r="C9" s="96">
        <v>3</v>
      </c>
      <c r="D9" s="96">
        <v>4</v>
      </c>
      <c r="E9" s="96">
        <v>5</v>
      </c>
      <c r="F9" s="96" t="s">
        <v>312</v>
      </c>
    </row>
    <row r="10" spans="1:7" s="98" customFormat="1" ht="13.5" thickBot="1">
      <c r="A10" s="140">
        <v>10000000</v>
      </c>
      <c r="B10" s="141" t="s">
        <v>313</v>
      </c>
      <c r="C10" s="142">
        <f>C11+C17+C19</f>
        <v>1428092.5</v>
      </c>
      <c r="D10" s="142">
        <f>D15+D19</f>
        <v>52200</v>
      </c>
      <c r="E10" s="142" t="s">
        <v>314</v>
      </c>
      <c r="F10" s="143">
        <f>C10+D10</f>
        <v>1480292.5</v>
      </c>
      <c r="G10" s="97"/>
    </row>
    <row r="11" spans="1:6" ht="25.5">
      <c r="A11" s="99">
        <v>11000000</v>
      </c>
      <c r="B11" s="100" t="s">
        <v>9</v>
      </c>
      <c r="C11" s="101">
        <f>C12+C13</f>
        <v>1212825.5</v>
      </c>
      <c r="D11" s="101" t="s">
        <v>314</v>
      </c>
      <c r="E11" s="101" t="s">
        <v>314</v>
      </c>
      <c r="F11" s="102">
        <f>F12+F13</f>
        <v>1212825.5</v>
      </c>
    </row>
    <row r="12" spans="1:7" ht="12.75">
      <c r="A12" s="64">
        <v>11010000</v>
      </c>
      <c r="B12" s="42" t="s">
        <v>10</v>
      </c>
      <c r="C12" s="103">
        <v>1206325.5</v>
      </c>
      <c r="D12" s="43" t="s">
        <v>314</v>
      </c>
      <c r="E12" s="43" t="s">
        <v>314</v>
      </c>
      <c r="F12" s="104">
        <f>C12</f>
        <v>1206325.5</v>
      </c>
      <c r="G12" s="46"/>
    </row>
    <row r="13" spans="1:6" ht="12.75">
      <c r="A13" s="64">
        <v>11020000</v>
      </c>
      <c r="B13" s="42" t="s">
        <v>11</v>
      </c>
      <c r="C13" s="43">
        <v>6500</v>
      </c>
      <c r="D13" s="43" t="s">
        <v>314</v>
      </c>
      <c r="E13" s="43" t="s">
        <v>314</v>
      </c>
      <c r="F13" s="104">
        <f>C13</f>
        <v>6500</v>
      </c>
    </row>
    <row r="14" spans="1:6" ht="25.5">
      <c r="A14" s="64">
        <v>11020200</v>
      </c>
      <c r="B14" s="42" t="s">
        <v>0</v>
      </c>
      <c r="C14" s="103">
        <v>6500</v>
      </c>
      <c r="D14" s="43" t="s">
        <v>314</v>
      </c>
      <c r="E14" s="43" t="s">
        <v>314</v>
      </c>
      <c r="F14" s="104">
        <f>C14</f>
        <v>6500</v>
      </c>
    </row>
    <row r="15" spans="1:6" ht="12.75">
      <c r="A15" s="64">
        <v>12000000</v>
      </c>
      <c r="B15" s="42" t="s">
        <v>12</v>
      </c>
      <c r="C15" s="43" t="s">
        <v>314</v>
      </c>
      <c r="D15" s="43">
        <f>D16</f>
        <v>50680</v>
      </c>
      <c r="E15" s="43" t="s">
        <v>314</v>
      </c>
      <c r="F15" s="104">
        <f>F16</f>
        <v>50680</v>
      </c>
    </row>
    <row r="16" spans="1:6" ht="25.5">
      <c r="A16" s="64">
        <v>12020000</v>
      </c>
      <c r="B16" s="42" t="s">
        <v>13</v>
      </c>
      <c r="C16" s="43" t="s">
        <v>314</v>
      </c>
      <c r="D16" s="103">
        <v>50680</v>
      </c>
      <c r="E16" s="43" t="s">
        <v>314</v>
      </c>
      <c r="F16" s="104">
        <f>D16</f>
        <v>50680</v>
      </c>
    </row>
    <row r="17" spans="1:7" ht="16.5" customHeight="1">
      <c r="A17" s="64">
        <v>13000000</v>
      </c>
      <c r="B17" s="42" t="s">
        <v>14</v>
      </c>
      <c r="C17" s="43">
        <f>C18</f>
        <v>156000</v>
      </c>
      <c r="D17" s="43" t="s">
        <v>314</v>
      </c>
      <c r="E17" s="43" t="s">
        <v>314</v>
      </c>
      <c r="F17" s="104">
        <f>F18</f>
        <v>156000</v>
      </c>
      <c r="G17" s="46"/>
    </row>
    <row r="18" spans="1:6" ht="12.75">
      <c r="A18" s="64">
        <v>13050000</v>
      </c>
      <c r="B18" s="42" t="s">
        <v>15</v>
      </c>
      <c r="C18" s="103">
        <v>156000</v>
      </c>
      <c r="D18" s="43" t="s">
        <v>314</v>
      </c>
      <c r="E18" s="43" t="s">
        <v>314</v>
      </c>
      <c r="F18" s="104">
        <f>C18</f>
        <v>156000</v>
      </c>
    </row>
    <row r="19" spans="1:7" ht="13.5" customHeight="1">
      <c r="A19" s="64">
        <v>14000000</v>
      </c>
      <c r="B19" s="42" t="s">
        <v>16</v>
      </c>
      <c r="C19" s="43">
        <f>C20+C22+C23</f>
        <v>59267</v>
      </c>
      <c r="D19" s="43">
        <f>D24</f>
        <v>1520</v>
      </c>
      <c r="E19" s="43" t="s">
        <v>314</v>
      </c>
      <c r="F19" s="104">
        <f>C19+D19</f>
        <v>60787</v>
      </c>
      <c r="G19" s="46"/>
    </row>
    <row r="20" spans="1:6" ht="12" customHeight="1">
      <c r="A20" s="64">
        <v>14060200</v>
      </c>
      <c r="B20" s="42" t="s">
        <v>17</v>
      </c>
      <c r="C20" s="103">
        <v>22</v>
      </c>
      <c r="D20" s="43" t="s">
        <v>314</v>
      </c>
      <c r="E20" s="43" t="s">
        <v>314</v>
      </c>
      <c r="F20" s="104">
        <f>C20</f>
        <v>22</v>
      </c>
    </row>
    <row r="21" spans="1:6" ht="26.25" hidden="1">
      <c r="A21" s="64">
        <v>14060300</v>
      </c>
      <c r="B21" s="42" t="s">
        <v>18</v>
      </c>
      <c r="C21" s="40"/>
      <c r="D21" s="43" t="s">
        <v>314</v>
      </c>
      <c r="E21" s="43" t="s">
        <v>314</v>
      </c>
      <c r="F21" s="104">
        <f>C21</f>
        <v>0</v>
      </c>
    </row>
    <row r="22" spans="1:6" ht="25.5">
      <c r="A22" s="64" t="s">
        <v>104</v>
      </c>
      <c r="B22" s="42" t="s">
        <v>105</v>
      </c>
      <c r="C22" s="103">
        <v>45</v>
      </c>
      <c r="D22" s="43" t="s">
        <v>314</v>
      </c>
      <c r="E22" s="43" t="s">
        <v>314</v>
      </c>
      <c r="F22" s="104">
        <f>C22</f>
        <v>45</v>
      </c>
    </row>
    <row r="23" spans="1:7" ht="25.5">
      <c r="A23" s="64">
        <v>14061100</v>
      </c>
      <c r="B23" s="42" t="s">
        <v>19</v>
      </c>
      <c r="C23" s="103">
        <v>59200</v>
      </c>
      <c r="D23" s="43" t="s">
        <v>314</v>
      </c>
      <c r="E23" s="43" t="s">
        <v>314</v>
      </c>
      <c r="F23" s="104">
        <f>C23</f>
        <v>59200</v>
      </c>
      <c r="G23" s="46"/>
    </row>
    <row r="24" spans="1:6" ht="25.5">
      <c r="A24" s="64">
        <v>14070000</v>
      </c>
      <c r="B24" s="42" t="s">
        <v>20</v>
      </c>
      <c r="C24" s="43" t="s">
        <v>314</v>
      </c>
      <c r="D24" s="43">
        <f>D25</f>
        <v>1520</v>
      </c>
      <c r="E24" s="43" t="s">
        <v>314</v>
      </c>
      <c r="F24" s="104">
        <f>F25</f>
        <v>1520</v>
      </c>
    </row>
    <row r="25" spans="1:6" ht="39" customHeight="1">
      <c r="A25" s="64">
        <v>14071500</v>
      </c>
      <c r="B25" s="42" t="s">
        <v>21</v>
      </c>
      <c r="C25" s="43" t="s">
        <v>314</v>
      </c>
      <c r="D25" s="103">
        <v>1520</v>
      </c>
      <c r="E25" s="43" t="s">
        <v>314</v>
      </c>
      <c r="F25" s="104">
        <f>D25</f>
        <v>1520</v>
      </c>
    </row>
    <row r="26" spans="1:7" s="98" customFormat="1" ht="12.75">
      <c r="A26" s="63">
        <v>20000000</v>
      </c>
      <c r="B26" s="105" t="s">
        <v>22</v>
      </c>
      <c r="C26" s="106">
        <f>C27+C30+C32</f>
        <v>12357.8</v>
      </c>
      <c r="D26" s="106">
        <f>D27+D32+D37</f>
        <v>70717.70000000001</v>
      </c>
      <c r="E26" s="106" t="s">
        <v>314</v>
      </c>
      <c r="F26" s="107">
        <f>C26+D26</f>
        <v>83075.50000000001</v>
      </c>
      <c r="G26" s="112"/>
    </row>
    <row r="27" spans="1:7" ht="25.5">
      <c r="A27" s="64">
        <v>21000000</v>
      </c>
      <c r="B27" s="42" t="s">
        <v>23</v>
      </c>
      <c r="C27" s="43">
        <f>C28</f>
        <v>5930</v>
      </c>
      <c r="D27" s="43">
        <f>D29</f>
        <v>1862.6</v>
      </c>
      <c r="E27" s="43" t="s">
        <v>314</v>
      </c>
      <c r="F27" s="104">
        <f>C27</f>
        <v>5930</v>
      </c>
      <c r="G27" s="46"/>
    </row>
    <row r="28" spans="1:6" ht="26.25" customHeight="1">
      <c r="A28" s="64">
        <v>21040000</v>
      </c>
      <c r="B28" s="42" t="s">
        <v>106</v>
      </c>
      <c r="C28" s="43">
        <v>5930</v>
      </c>
      <c r="D28" s="43" t="s">
        <v>314</v>
      </c>
      <c r="E28" s="43" t="s">
        <v>314</v>
      </c>
      <c r="F28" s="104">
        <f>C28</f>
        <v>5930</v>
      </c>
    </row>
    <row r="29" spans="1:6" ht="25.5">
      <c r="A29" s="64">
        <v>21110000</v>
      </c>
      <c r="B29" s="42" t="s">
        <v>24</v>
      </c>
      <c r="C29" s="43" t="s">
        <v>314</v>
      </c>
      <c r="D29" s="43">
        <v>1862.6</v>
      </c>
      <c r="E29" s="43" t="s">
        <v>314</v>
      </c>
      <c r="F29" s="104">
        <f>D29</f>
        <v>1862.6</v>
      </c>
    </row>
    <row r="30" spans="1:8" ht="25.5">
      <c r="A30" s="64">
        <v>22000000</v>
      </c>
      <c r="B30" s="42" t="s">
        <v>25</v>
      </c>
      <c r="C30" s="43">
        <f>C31</f>
        <v>5417.8</v>
      </c>
      <c r="D30" s="43" t="s">
        <v>314</v>
      </c>
      <c r="E30" s="43" t="s">
        <v>314</v>
      </c>
      <c r="F30" s="104">
        <f>C30</f>
        <v>5417.8</v>
      </c>
      <c r="G30" s="46"/>
      <c r="H30" s="46"/>
    </row>
    <row r="31" spans="1:6" ht="24.75" customHeight="1">
      <c r="A31" s="64">
        <v>22080000</v>
      </c>
      <c r="B31" s="108" t="s">
        <v>107</v>
      </c>
      <c r="C31" s="103">
        <v>5417.8</v>
      </c>
      <c r="D31" s="43" t="s">
        <v>314</v>
      </c>
      <c r="E31" s="43" t="s">
        <v>314</v>
      </c>
      <c r="F31" s="104">
        <f>C31</f>
        <v>5417.8</v>
      </c>
    </row>
    <row r="32" spans="1:7" ht="12.75">
      <c r="A32" s="64">
        <v>24000000</v>
      </c>
      <c r="B32" s="42" t="s">
        <v>26</v>
      </c>
      <c r="C32" s="103">
        <f>C35</f>
        <v>1010</v>
      </c>
      <c r="D32" s="43">
        <f>D36</f>
        <v>130</v>
      </c>
      <c r="E32" s="43" t="s">
        <v>314</v>
      </c>
      <c r="F32" s="104">
        <f>C32+D32</f>
        <v>1140</v>
      </c>
      <c r="G32" s="46"/>
    </row>
    <row r="33" spans="1:6" ht="12.75" hidden="1">
      <c r="A33" s="64"/>
      <c r="B33" s="42"/>
      <c r="C33" s="43">
        <v>0</v>
      </c>
      <c r="D33" s="43" t="s">
        <v>314</v>
      </c>
      <c r="E33" s="43" t="s">
        <v>314</v>
      </c>
      <c r="F33" s="104">
        <v>0</v>
      </c>
    </row>
    <row r="34" spans="1:6" ht="38.25" hidden="1">
      <c r="A34" s="64">
        <v>24030000</v>
      </c>
      <c r="B34" s="42" t="s">
        <v>35</v>
      </c>
      <c r="C34" s="109" t="s">
        <v>314</v>
      </c>
      <c r="D34" s="109" t="s">
        <v>314</v>
      </c>
      <c r="E34" s="109" t="s">
        <v>314</v>
      </c>
      <c r="F34" s="110" t="s">
        <v>314</v>
      </c>
    </row>
    <row r="35" spans="1:6" ht="12.75">
      <c r="A35" s="64">
        <v>24060300</v>
      </c>
      <c r="B35" s="42" t="s">
        <v>27</v>
      </c>
      <c r="C35" s="43">
        <v>1010</v>
      </c>
      <c r="D35" s="43" t="s">
        <v>314</v>
      </c>
      <c r="E35" s="43" t="s">
        <v>314</v>
      </c>
      <c r="F35" s="104">
        <f>C35</f>
        <v>1010</v>
      </c>
    </row>
    <row r="36" spans="1:6" ht="24" customHeight="1">
      <c r="A36" s="64" t="s">
        <v>108</v>
      </c>
      <c r="B36" s="108" t="s">
        <v>109</v>
      </c>
      <c r="C36" s="43" t="s">
        <v>314</v>
      </c>
      <c r="D36" s="43">
        <v>130</v>
      </c>
      <c r="E36" s="103" t="s">
        <v>314</v>
      </c>
      <c r="F36" s="104">
        <f>D36</f>
        <v>130</v>
      </c>
    </row>
    <row r="37" spans="1:7" ht="12.75">
      <c r="A37" s="64">
        <v>25000000</v>
      </c>
      <c r="B37" s="42" t="s">
        <v>28</v>
      </c>
      <c r="C37" s="43" t="s">
        <v>314</v>
      </c>
      <c r="D37" s="43">
        <v>68725.1</v>
      </c>
      <c r="E37" s="43" t="s">
        <v>314</v>
      </c>
      <c r="F37" s="104">
        <f>D37</f>
        <v>68725.1</v>
      </c>
      <c r="G37" s="46"/>
    </row>
    <row r="38" spans="1:7" s="98" customFormat="1" ht="38.25">
      <c r="A38" s="64">
        <v>31030000</v>
      </c>
      <c r="B38" s="42" t="s">
        <v>29</v>
      </c>
      <c r="C38" s="43" t="s">
        <v>314</v>
      </c>
      <c r="D38" s="103">
        <v>22723.4</v>
      </c>
      <c r="E38" s="103">
        <f>D38</f>
        <v>22723.4</v>
      </c>
      <c r="F38" s="104">
        <f>D38</f>
        <v>22723.4</v>
      </c>
      <c r="G38" s="112"/>
    </row>
    <row r="39" spans="1:7" ht="12.75">
      <c r="A39" s="64">
        <v>50080000</v>
      </c>
      <c r="B39" s="42" t="s">
        <v>30</v>
      </c>
      <c r="C39" s="43" t="s">
        <v>314</v>
      </c>
      <c r="D39" s="103">
        <v>106400</v>
      </c>
      <c r="E39" s="43" t="s">
        <v>314</v>
      </c>
      <c r="F39" s="104">
        <f>D39</f>
        <v>106400</v>
      </c>
      <c r="G39" s="46"/>
    </row>
    <row r="40" spans="1:8" s="98" customFormat="1" ht="12.75">
      <c r="A40" s="318" t="s">
        <v>31</v>
      </c>
      <c r="B40" s="319"/>
      <c r="C40" s="111">
        <f>C10+C26</f>
        <v>1440450.3</v>
      </c>
      <c r="D40" s="111">
        <f>D10+D26+D38+D39</f>
        <v>252041.1</v>
      </c>
      <c r="E40" s="106">
        <f>E38</f>
        <v>22723.4</v>
      </c>
      <c r="F40" s="107">
        <f>C40+D40</f>
        <v>1692491.4000000001</v>
      </c>
      <c r="H40" s="112"/>
    </row>
    <row r="41" spans="1:6" s="98" customFormat="1" ht="12.75">
      <c r="A41" s="63"/>
      <c r="B41" s="105"/>
      <c r="C41" s="111"/>
      <c r="D41" s="111"/>
      <c r="E41" s="106"/>
      <c r="F41" s="107"/>
    </row>
    <row r="42" spans="1:6" ht="12.75">
      <c r="A42" s="63">
        <v>40000000</v>
      </c>
      <c r="B42" s="105" t="s">
        <v>32</v>
      </c>
      <c r="C42" s="106">
        <f>C43+C44+C45</f>
        <v>2184843.8</v>
      </c>
      <c r="D42" s="106">
        <f>D45+D55</f>
        <v>543995</v>
      </c>
      <c r="E42" s="106">
        <f>E45+E55</f>
        <v>27005.2</v>
      </c>
      <c r="F42" s="107">
        <f>C42+D42</f>
        <v>2728838.8</v>
      </c>
    </row>
    <row r="43" spans="1:6" ht="12.75">
      <c r="A43" s="64" t="s">
        <v>1</v>
      </c>
      <c r="B43" s="42" t="s">
        <v>83</v>
      </c>
      <c r="C43" s="43">
        <v>306195.9</v>
      </c>
      <c r="D43" s="43" t="s">
        <v>314</v>
      </c>
      <c r="E43" s="43" t="s">
        <v>314</v>
      </c>
      <c r="F43" s="104">
        <f>C43</f>
        <v>306195.9</v>
      </c>
    </row>
    <row r="44" spans="1:8" ht="26.25" customHeight="1">
      <c r="A44" s="64" t="s">
        <v>271</v>
      </c>
      <c r="B44" s="42" t="s">
        <v>80</v>
      </c>
      <c r="C44" s="43">
        <v>61927.5</v>
      </c>
      <c r="D44" s="43" t="s">
        <v>314</v>
      </c>
      <c r="E44" s="43" t="s">
        <v>314</v>
      </c>
      <c r="F44" s="104">
        <f>C44</f>
        <v>61927.5</v>
      </c>
      <c r="H44" s="46"/>
    </row>
    <row r="45" spans="1:8" ht="14.25" customHeight="1">
      <c r="A45" s="63">
        <v>41030000</v>
      </c>
      <c r="B45" s="105" t="s">
        <v>33</v>
      </c>
      <c r="C45" s="106">
        <f>C46+C47+C48+C49+C50+C52+C53</f>
        <v>1816720.4</v>
      </c>
      <c r="D45" s="106">
        <f>D46+D47+D48+D49+D52+D51+D50+D53+D54</f>
        <v>500263</v>
      </c>
      <c r="E45" s="106">
        <f>E46+E47+E48+E49+E52+E51+E50+E53</f>
        <v>0</v>
      </c>
      <c r="F45" s="107">
        <f aca="true" t="shared" si="0" ref="F45:F50">C45+D45</f>
        <v>2316983.4</v>
      </c>
      <c r="G45" s="46"/>
      <c r="H45" s="46"/>
    </row>
    <row r="46" spans="1:7" ht="52.5" customHeight="1">
      <c r="A46" s="64" t="s">
        <v>110</v>
      </c>
      <c r="B46" s="68" t="s">
        <v>2</v>
      </c>
      <c r="C46" s="43">
        <v>1319445.9</v>
      </c>
      <c r="D46" s="43"/>
      <c r="E46" s="43"/>
      <c r="F46" s="104">
        <f t="shared" si="0"/>
        <v>1319445.9</v>
      </c>
      <c r="G46" s="170"/>
    </row>
    <row r="47" spans="1:10" ht="67.5" customHeight="1">
      <c r="A47" s="116" t="s">
        <v>111</v>
      </c>
      <c r="B47" s="144" t="s">
        <v>84</v>
      </c>
      <c r="C47" s="138">
        <v>279217.8</v>
      </c>
      <c r="D47" s="43">
        <v>431291.4</v>
      </c>
      <c r="E47" s="43"/>
      <c r="F47" s="104">
        <f t="shared" si="0"/>
        <v>710509.2</v>
      </c>
      <c r="J47" s="150"/>
    </row>
    <row r="48" spans="1:6" ht="120" customHeight="1">
      <c r="A48" s="64" t="s">
        <v>112</v>
      </c>
      <c r="B48" s="65" t="s">
        <v>280</v>
      </c>
      <c r="C48" s="43">
        <v>147643.8</v>
      </c>
      <c r="D48" s="43"/>
      <c r="E48" s="43"/>
      <c r="F48" s="104">
        <f t="shared" si="0"/>
        <v>147643.8</v>
      </c>
    </row>
    <row r="49" spans="1:6" ht="51">
      <c r="A49" s="116" t="s">
        <v>113</v>
      </c>
      <c r="B49" s="144" t="s">
        <v>85</v>
      </c>
      <c r="C49" s="138">
        <v>31741.9</v>
      </c>
      <c r="D49" s="43"/>
      <c r="E49" s="43"/>
      <c r="F49" s="104">
        <f t="shared" si="0"/>
        <v>31741.9</v>
      </c>
    </row>
    <row r="50" spans="1:6" ht="87" customHeight="1">
      <c r="A50" s="146" t="s">
        <v>87</v>
      </c>
      <c r="B50" s="149" t="s">
        <v>89</v>
      </c>
      <c r="C50" s="147">
        <v>29759.4</v>
      </c>
      <c r="D50" s="147"/>
      <c r="E50" s="147"/>
      <c r="F50" s="148">
        <f t="shared" si="0"/>
        <v>29759.4</v>
      </c>
    </row>
    <row r="51" spans="1:8" ht="120" customHeight="1">
      <c r="A51" s="146" t="s">
        <v>86</v>
      </c>
      <c r="B51" s="162" t="s">
        <v>275</v>
      </c>
      <c r="C51" s="147" t="s">
        <v>314</v>
      </c>
      <c r="D51" s="147">
        <v>7721.8</v>
      </c>
      <c r="E51" s="147"/>
      <c r="F51" s="148">
        <f>D51</f>
        <v>7721.8</v>
      </c>
      <c r="G51" s="152"/>
      <c r="H51" s="152"/>
    </row>
    <row r="52" spans="1:8" ht="81" customHeight="1">
      <c r="A52" s="146" t="s">
        <v>276</v>
      </c>
      <c r="B52" s="65" t="s">
        <v>277</v>
      </c>
      <c r="C52" s="147">
        <v>8611.6</v>
      </c>
      <c r="D52" s="147"/>
      <c r="E52" s="147"/>
      <c r="F52" s="148">
        <f>C52+D52</f>
        <v>8611.6</v>
      </c>
      <c r="G52" s="46"/>
      <c r="H52" s="46"/>
    </row>
    <row r="53" spans="1:8" ht="57.75" customHeight="1">
      <c r="A53" s="146" t="s">
        <v>71</v>
      </c>
      <c r="B53" s="65" t="s">
        <v>72</v>
      </c>
      <c r="C53" s="147">
        <v>300</v>
      </c>
      <c r="D53" s="147"/>
      <c r="E53" s="147"/>
      <c r="F53" s="148">
        <f>C53+D53</f>
        <v>300</v>
      </c>
      <c r="G53" s="46"/>
      <c r="H53" s="46"/>
    </row>
    <row r="54" spans="1:8" ht="120.75" customHeight="1">
      <c r="A54" s="146" t="s">
        <v>319</v>
      </c>
      <c r="B54" s="65" t="s">
        <v>318</v>
      </c>
      <c r="C54" s="147"/>
      <c r="D54" s="147">
        <v>61249.8</v>
      </c>
      <c r="E54" s="147"/>
      <c r="F54" s="148">
        <f>D54</f>
        <v>61249.8</v>
      </c>
      <c r="G54" s="46"/>
      <c r="H54" s="46"/>
    </row>
    <row r="55" spans="1:8" ht="21.75" customHeight="1" thickBot="1">
      <c r="A55" s="193" t="s">
        <v>6</v>
      </c>
      <c r="B55" s="194" t="s">
        <v>352</v>
      </c>
      <c r="C55" s="196"/>
      <c r="D55" s="195">
        <f>60732-17000</f>
        <v>43732</v>
      </c>
      <c r="E55" s="195">
        <v>27005.2</v>
      </c>
      <c r="F55" s="294">
        <f>D55</f>
        <v>43732</v>
      </c>
      <c r="G55" s="152"/>
      <c r="H55" s="152"/>
    </row>
    <row r="56" spans="1:11" s="98" customFormat="1" ht="13.5" thickBot="1">
      <c r="A56" s="320" t="s">
        <v>34</v>
      </c>
      <c r="B56" s="321"/>
      <c r="C56" s="196">
        <f>C40+C42</f>
        <v>3625294.0999999996</v>
      </c>
      <c r="D56" s="153">
        <f>D40+D42</f>
        <v>796036.1</v>
      </c>
      <c r="E56" s="153">
        <f>E42+E40</f>
        <v>49728.600000000006</v>
      </c>
      <c r="F56" s="154">
        <f>C56+D56</f>
        <v>4421330.199999999</v>
      </c>
      <c r="H56" s="112"/>
      <c r="K56" s="171"/>
    </row>
    <row r="57" spans="2:10" ht="12.75">
      <c r="B57" s="155"/>
      <c r="C57" s="156">
        <f>C56-'№2'!C83</f>
        <v>0</v>
      </c>
      <c r="D57" s="156">
        <f>D56-'№2'!G83</f>
        <v>0</v>
      </c>
      <c r="E57" s="157">
        <f>E56-'№2'!H83</f>
        <v>0</v>
      </c>
      <c r="F57" s="156">
        <f>F56-'№2'!J83</f>
        <v>0</v>
      </c>
      <c r="G57" s="157"/>
      <c r="H57" s="157"/>
      <c r="J57" s="46"/>
    </row>
    <row r="58" spans="2:10" ht="12.75">
      <c r="B58" s="155"/>
      <c r="C58" s="156"/>
      <c r="D58" s="156"/>
      <c r="E58" s="156"/>
      <c r="F58" s="156"/>
      <c r="G58" s="157"/>
      <c r="H58" s="158"/>
      <c r="J58" s="46"/>
    </row>
    <row r="59" spans="2:10" ht="12.75">
      <c r="B59" s="155"/>
      <c r="C59" s="156"/>
      <c r="D59" s="156"/>
      <c r="E59" s="156"/>
      <c r="F59" s="156"/>
      <c r="G59" s="157"/>
      <c r="H59" s="158"/>
      <c r="J59" s="46"/>
    </row>
    <row r="60" spans="2:10" ht="12.75">
      <c r="B60" s="155"/>
      <c r="C60" s="156"/>
      <c r="D60" s="156"/>
      <c r="E60" s="156"/>
      <c r="F60" s="156"/>
      <c r="G60" s="157"/>
      <c r="H60" s="158"/>
      <c r="J60" s="46"/>
    </row>
    <row r="61" spans="2:8" ht="12.75">
      <c r="B61" s="155"/>
      <c r="C61" s="159"/>
      <c r="D61" s="159"/>
      <c r="E61" s="159"/>
      <c r="F61" s="159"/>
      <c r="G61" s="157"/>
      <c r="H61" s="158"/>
    </row>
    <row r="62" spans="2:8" ht="12.75">
      <c r="B62" s="155"/>
      <c r="C62" s="159"/>
      <c r="D62" s="159"/>
      <c r="E62" s="159"/>
      <c r="F62" s="159"/>
      <c r="G62" s="157"/>
      <c r="H62" s="158"/>
    </row>
    <row r="63" spans="2:8" ht="12.75">
      <c r="B63" s="155"/>
      <c r="C63" s="159"/>
      <c r="D63" s="159"/>
      <c r="E63" s="159"/>
      <c r="F63" s="159"/>
      <c r="G63" s="157"/>
      <c r="H63" s="158"/>
    </row>
    <row r="64" spans="2:8" ht="12.75">
      <c r="B64" s="155"/>
      <c r="C64" s="159"/>
      <c r="D64" s="159"/>
      <c r="E64" s="159"/>
      <c r="F64" s="159"/>
      <c r="G64" s="158"/>
      <c r="H64" s="158"/>
    </row>
    <row r="65" spans="2:8" ht="12.75">
      <c r="B65" s="160"/>
      <c r="C65" s="159"/>
      <c r="D65" s="159"/>
      <c r="E65" s="159"/>
      <c r="F65" s="159"/>
      <c r="G65" s="158"/>
      <c r="H65" s="158"/>
    </row>
    <row r="66" spans="2:8" ht="12">
      <c r="B66" s="160"/>
      <c r="C66" s="158"/>
      <c r="D66" s="158"/>
      <c r="E66" s="158"/>
      <c r="F66" s="158"/>
      <c r="G66" s="158"/>
      <c r="H66" s="158"/>
    </row>
    <row r="67" spans="2:8" ht="12">
      <c r="B67" s="161"/>
      <c r="C67" s="157"/>
      <c r="D67" s="158"/>
      <c r="E67" s="158"/>
      <c r="F67" s="157"/>
      <c r="G67" s="158"/>
      <c r="H67" s="158"/>
    </row>
    <row r="68" spans="2:8" ht="12">
      <c r="B68" s="160"/>
      <c r="C68" s="158"/>
      <c r="D68" s="158"/>
      <c r="E68" s="158"/>
      <c r="F68" s="158"/>
      <c r="G68" s="158"/>
      <c r="H68" s="158"/>
    </row>
    <row r="69" spans="2:8" ht="12">
      <c r="B69" s="160"/>
      <c r="C69" s="157"/>
      <c r="D69" s="158"/>
      <c r="E69" s="158"/>
      <c r="F69" s="158"/>
      <c r="G69" s="158"/>
      <c r="H69" s="172"/>
    </row>
    <row r="70" spans="2:8" ht="12">
      <c r="B70" s="160"/>
      <c r="C70" s="158"/>
      <c r="D70" s="158"/>
      <c r="E70" s="158"/>
      <c r="F70" s="158"/>
      <c r="G70" s="158"/>
      <c r="H70" s="172"/>
    </row>
    <row r="71" spans="2:8" ht="12">
      <c r="B71" s="160"/>
      <c r="C71" s="158"/>
      <c r="D71" s="158"/>
      <c r="E71" s="158"/>
      <c r="F71" s="158"/>
      <c r="G71" s="158"/>
      <c r="H71" s="172"/>
    </row>
    <row r="72" spans="2:8" ht="12">
      <c r="B72" s="160"/>
      <c r="C72" s="158"/>
      <c r="D72" s="158"/>
      <c r="E72" s="158"/>
      <c r="F72" s="158"/>
      <c r="G72" s="158"/>
      <c r="H72" s="172"/>
    </row>
    <row r="73" spans="2:8" ht="12">
      <c r="B73" s="160"/>
      <c r="C73" s="158"/>
      <c r="D73" s="158"/>
      <c r="E73" s="158"/>
      <c r="F73" s="158"/>
      <c r="G73" s="158"/>
      <c r="H73" s="158"/>
    </row>
    <row r="74" spans="2:8" ht="12">
      <c r="B74" s="160"/>
      <c r="C74" s="158"/>
      <c r="D74" s="158"/>
      <c r="E74" s="158"/>
      <c r="F74" s="158"/>
      <c r="G74" s="158"/>
      <c r="H74" s="158"/>
    </row>
    <row r="75" ht="12">
      <c r="D75" s="46"/>
    </row>
  </sheetData>
  <mergeCells count="11">
    <mergeCell ref="D1:F1"/>
    <mergeCell ref="D2:F2"/>
    <mergeCell ref="D3:F3"/>
    <mergeCell ref="A4:F4"/>
    <mergeCell ref="D7:E7"/>
    <mergeCell ref="F7:F8"/>
    <mergeCell ref="A40:B40"/>
    <mergeCell ref="A56:B56"/>
    <mergeCell ref="A7:A8"/>
    <mergeCell ref="B7:B8"/>
    <mergeCell ref="C7:C8"/>
  </mergeCells>
  <printOptions/>
  <pageMargins left="0.984251968503937" right="0.5905511811023623" top="0.66" bottom="0.41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71"/>
  <sheetViews>
    <sheetView view="pageBreakPreview" zoomScaleSheetLayoutView="100" workbookViewId="0" topLeftCell="A1">
      <selection activeCell="B9" sqref="B9:B11"/>
    </sheetView>
  </sheetViews>
  <sheetFormatPr defaultColWidth="9.00390625" defaultRowHeight="12.75"/>
  <cols>
    <col min="1" max="1" width="7.375" style="54" customWidth="1"/>
    <col min="2" max="2" width="47.625" style="2" customWidth="1"/>
    <col min="3" max="3" width="10.625" style="3" customWidth="1"/>
    <col min="4" max="4" width="10.00390625" style="3" customWidth="1"/>
    <col min="5" max="5" width="9.375" style="3" customWidth="1"/>
    <col min="6" max="6" width="10.375" style="3" customWidth="1"/>
    <col min="7" max="7" width="10.00390625" style="3" customWidth="1"/>
    <col min="8" max="8" width="8.875" style="3" customWidth="1"/>
    <col min="9" max="9" width="9.875" style="3" hidden="1" customWidth="1"/>
    <col min="10" max="10" width="10.125" style="3" customWidth="1"/>
    <col min="11" max="11" width="10.625" style="3" customWidth="1"/>
    <col min="12" max="12" width="13.875" style="3" customWidth="1"/>
    <col min="13" max="13" width="14.00390625" style="3" customWidth="1"/>
    <col min="14" max="16384" width="8.875" style="3" customWidth="1"/>
  </cols>
  <sheetData>
    <row r="1" spans="6:9" ht="15" customHeight="1">
      <c r="F1" s="328" t="s">
        <v>202</v>
      </c>
      <c r="G1" s="328"/>
      <c r="H1" s="328"/>
      <c r="I1" s="4"/>
    </row>
    <row r="2" spans="6:9" ht="13.5" customHeight="1">
      <c r="F2" s="328" t="s">
        <v>203</v>
      </c>
      <c r="G2" s="328"/>
      <c r="H2" s="328"/>
      <c r="I2" s="5"/>
    </row>
    <row r="3" spans="6:9" ht="13.5" customHeight="1">
      <c r="F3" s="328" t="s">
        <v>356</v>
      </c>
      <c r="G3" s="328"/>
      <c r="H3" s="328"/>
      <c r="I3" s="191"/>
    </row>
    <row r="5" spans="2:7" ht="13.5" customHeight="1">
      <c r="B5" s="1"/>
      <c r="C5" s="6"/>
      <c r="D5" s="6"/>
      <c r="E5" s="6"/>
      <c r="F5" s="6"/>
      <c r="G5" s="6"/>
    </row>
    <row r="6" spans="1:10" ht="15.75">
      <c r="A6" s="332" t="s">
        <v>328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1" ht="15" customHeight="1">
      <c r="A7" s="332" t="s">
        <v>204</v>
      </c>
      <c r="B7" s="332"/>
      <c r="C7" s="332"/>
      <c r="D7" s="332"/>
      <c r="E7" s="332"/>
      <c r="F7" s="332"/>
      <c r="G7" s="332"/>
      <c r="H7" s="332"/>
      <c r="I7" s="332"/>
      <c r="J7" s="332"/>
      <c r="K7" s="7"/>
    </row>
    <row r="8" spans="6:11" ht="13.5" thickBot="1">
      <c r="F8" s="8"/>
      <c r="H8" s="9"/>
      <c r="I8" s="10"/>
      <c r="J8" s="3" t="s">
        <v>37</v>
      </c>
      <c r="K8" s="7"/>
    </row>
    <row r="9" spans="1:11" ht="25.5" customHeight="1" thickBot="1">
      <c r="A9" s="333" t="s">
        <v>205</v>
      </c>
      <c r="B9" s="336" t="s">
        <v>206</v>
      </c>
      <c r="C9" s="338" t="s">
        <v>207</v>
      </c>
      <c r="D9" s="339"/>
      <c r="E9" s="339"/>
      <c r="F9" s="339"/>
      <c r="G9" s="340" t="s">
        <v>208</v>
      </c>
      <c r="H9" s="341"/>
      <c r="I9" s="311"/>
      <c r="J9" s="336" t="s">
        <v>209</v>
      </c>
      <c r="K9" s="11"/>
    </row>
    <row r="10" spans="1:11" ht="24" customHeight="1" thickBot="1">
      <c r="A10" s="334"/>
      <c r="B10" s="337"/>
      <c r="C10" s="313" t="s">
        <v>210</v>
      </c>
      <c r="D10" s="313" t="s">
        <v>211</v>
      </c>
      <c r="E10" s="309"/>
      <c r="F10" s="309"/>
      <c r="G10" s="308" t="s">
        <v>210</v>
      </c>
      <c r="H10" s="12" t="s">
        <v>212</v>
      </c>
      <c r="I10" s="310" t="s">
        <v>213</v>
      </c>
      <c r="J10" s="337"/>
      <c r="K10" s="11"/>
    </row>
    <row r="11" spans="1:17" ht="110.25" customHeight="1" thickBot="1">
      <c r="A11" s="335"/>
      <c r="B11" s="337"/>
      <c r="C11" s="308"/>
      <c r="D11" s="169" t="s">
        <v>214</v>
      </c>
      <c r="E11" s="13" t="s">
        <v>215</v>
      </c>
      <c r="F11" s="13" t="s">
        <v>216</v>
      </c>
      <c r="G11" s="308"/>
      <c r="H11" s="13" t="s">
        <v>217</v>
      </c>
      <c r="I11" s="342"/>
      <c r="J11" s="312"/>
      <c r="K11" s="11"/>
      <c r="Q11" s="3" t="s">
        <v>256</v>
      </c>
    </row>
    <row r="12" spans="1:11" ht="14.25" customHeight="1" thickBot="1">
      <c r="A12" s="55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10</v>
      </c>
      <c r="J12" s="15">
        <v>9</v>
      </c>
      <c r="K12" s="7"/>
    </row>
    <row r="13" spans="1:12" s="16" customFormat="1" ht="15.75" customHeight="1">
      <c r="A13" s="120" t="s">
        <v>218</v>
      </c>
      <c r="B13" s="121" t="s">
        <v>219</v>
      </c>
      <c r="C13" s="76">
        <f aca="true" t="shared" si="0" ref="C13:I13">C14</f>
        <v>17078.9</v>
      </c>
      <c r="D13" s="76">
        <f>D14</f>
        <v>3268.9</v>
      </c>
      <c r="E13" s="76">
        <f t="shared" si="0"/>
        <v>2947.8</v>
      </c>
      <c r="F13" s="76">
        <f t="shared" si="0"/>
        <v>10862.2</v>
      </c>
      <c r="G13" s="76">
        <f t="shared" si="0"/>
        <v>150</v>
      </c>
      <c r="H13" s="131">
        <f t="shared" si="0"/>
        <v>0</v>
      </c>
      <c r="I13" s="131">
        <f t="shared" si="0"/>
        <v>0</v>
      </c>
      <c r="J13" s="77">
        <f>C13+G13</f>
        <v>17228.9</v>
      </c>
      <c r="K13" s="173"/>
      <c r="L13" s="23">
        <f>K13-J13</f>
        <v>-17228.9</v>
      </c>
    </row>
    <row r="14" spans="1:12" ht="12.75">
      <c r="A14" s="118" t="s">
        <v>220</v>
      </c>
      <c r="B14" s="119" t="s">
        <v>221</v>
      </c>
      <c r="C14" s="113">
        <f>D14+E14+F14</f>
        <v>17078.9</v>
      </c>
      <c r="D14" s="113">
        <v>3268.9</v>
      </c>
      <c r="E14" s="113">
        <v>2947.8</v>
      </c>
      <c r="F14" s="113">
        <v>10862.2</v>
      </c>
      <c r="G14" s="113">
        <v>150</v>
      </c>
      <c r="H14" s="132"/>
      <c r="I14" s="132"/>
      <c r="J14" s="115">
        <f>C14+G14</f>
        <v>17228.9</v>
      </c>
      <c r="K14" s="174"/>
      <c r="L14" s="23"/>
    </row>
    <row r="15" spans="1:12" s="18" customFormat="1" ht="13.5" customHeight="1">
      <c r="A15" s="56" t="s">
        <v>260</v>
      </c>
      <c r="B15" s="60" t="s">
        <v>226</v>
      </c>
      <c r="C15" s="61">
        <f>D15+E15+F15</f>
        <v>443770.8</v>
      </c>
      <c r="D15" s="61">
        <v>164739.1</v>
      </c>
      <c r="E15" s="61">
        <v>48673.9</v>
      </c>
      <c r="F15" s="61">
        <f>230405.8+45-93</f>
        <v>230357.8</v>
      </c>
      <c r="G15" s="61">
        <v>10163.5</v>
      </c>
      <c r="H15" s="61"/>
      <c r="I15" s="61"/>
      <c r="J15" s="62">
        <f>C15+G15</f>
        <v>453934.3</v>
      </c>
      <c r="K15" s="175"/>
      <c r="L15" s="23">
        <f>K15-J15</f>
        <v>-453934.3</v>
      </c>
    </row>
    <row r="16" spans="1:58" ht="14.25" customHeight="1">
      <c r="A16" s="58" t="s">
        <v>200</v>
      </c>
      <c r="B16" s="20" t="s">
        <v>199</v>
      </c>
      <c r="C16" s="26">
        <f>F16</f>
        <v>45</v>
      </c>
      <c r="D16" s="21"/>
      <c r="E16" s="21"/>
      <c r="F16" s="21">
        <v>45</v>
      </c>
      <c r="G16" s="21"/>
      <c r="H16" s="21"/>
      <c r="I16" s="21"/>
      <c r="J16" s="67">
        <f>C16</f>
        <v>45</v>
      </c>
      <c r="K16" s="176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64.5" customHeight="1">
      <c r="A17" s="58" t="s">
        <v>197</v>
      </c>
      <c r="B17" s="20" t="s">
        <v>196</v>
      </c>
      <c r="C17" s="113">
        <f>D17+E17+F17</f>
        <v>1476.8</v>
      </c>
      <c r="D17" s="21"/>
      <c r="E17" s="21"/>
      <c r="F17" s="21">
        <v>1476.8</v>
      </c>
      <c r="G17" s="21"/>
      <c r="H17" s="21"/>
      <c r="I17" s="21"/>
      <c r="J17" s="67">
        <f>C17+G17</f>
        <v>1476.8</v>
      </c>
      <c r="K17" s="176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12" s="18" customFormat="1" ht="16.5" customHeight="1">
      <c r="A18" s="56" t="s">
        <v>227</v>
      </c>
      <c r="B18" s="60" t="s">
        <v>228</v>
      </c>
      <c r="C18" s="61">
        <f>D18+E18+F18</f>
        <v>813090.1000000001</v>
      </c>
      <c r="D18" s="61">
        <v>349830.4</v>
      </c>
      <c r="E18" s="61">
        <v>78320.9</v>
      </c>
      <c r="F18" s="61">
        <v>384938.8</v>
      </c>
      <c r="G18" s="61">
        <v>25393.4</v>
      </c>
      <c r="H18" s="133">
        <f>10000-10000</f>
        <v>0</v>
      </c>
      <c r="I18" s="133"/>
      <c r="J18" s="62">
        <f>C18+G18</f>
        <v>838483.5000000001</v>
      </c>
      <c r="K18" s="177"/>
      <c r="L18" s="23">
        <f>K18-J18</f>
        <v>-838483.5000000001</v>
      </c>
    </row>
    <row r="19" spans="1:12" s="18" customFormat="1" ht="13.5" customHeight="1">
      <c r="A19" s="56"/>
      <c r="B19" s="136" t="s">
        <v>117</v>
      </c>
      <c r="C19" s="178"/>
      <c r="D19" s="61"/>
      <c r="E19" s="61"/>
      <c r="F19" s="61"/>
      <c r="G19" s="61"/>
      <c r="H19" s="133"/>
      <c r="I19" s="133"/>
      <c r="J19" s="62"/>
      <c r="K19" s="177"/>
      <c r="L19" s="23"/>
    </row>
    <row r="20" spans="1:12" s="18" customFormat="1" ht="30.75" customHeight="1">
      <c r="A20" s="58" t="s">
        <v>272</v>
      </c>
      <c r="B20" s="36" t="s">
        <v>273</v>
      </c>
      <c r="C20" s="26">
        <f aca="true" t="shared" si="1" ref="C20:C27">D20+E20+F20</f>
        <v>22964.1</v>
      </c>
      <c r="D20" s="21"/>
      <c r="E20" s="21"/>
      <c r="F20" s="21">
        <v>22964.1</v>
      </c>
      <c r="G20" s="21"/>
      <c r="H20" s="21"/>
      <c r="I20" s="21"/>
      <c r="J20" s="67">
        <f aca="true" t="shared" si="2" ref="J20:J50">C20+G20</f>
        <v>22964.1</v>
      </c>
      <c r="K20" s="177"/>
      <c r="L20" s="23"/>
    </row>
    <row r="21" spans="1:58" ht="66" customHeight="1">
      <c r="A21" s="58" t="s">
        <v>278</v>
      </c>
      <c r="B21" s="20" t="s">
        <v>196</v>
      </c>
      <c r="C21" s="26">
        <f t="shared" si="1"/>
        <v>44.4</v>
      </c>
      <c r="D21" s="21"/>
      <c r="E21" s="21"/>
      <c r="F21" s="21">
        <v>44.4</v>
      </c>
      <c r="G21" s="21"/>
      <c r="H21" s="21"/>
      <c r="I21" s="21"/>
      <c r="J21" s="67">
        <f t="shared" si="2"/>
        <v>44.4</v>
      </c>
      <c r="K21" s="176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12" s="18" customFormat="1" ht="17.25" customHeight="1">
      <c r="A22" s="56" t="s">
        <v>231</v>
      </c>
      <c r="B22" s="60" t="s">
        <v>232</v>
      </c>
      <c r="C22" s="41">
        <f>D22+E22+F22</f>
        <v>177085.1</v>
      </c>
      <c r="D22" s="41">
        <f>D24+D25+D26+D27+D28+D29+D30+D31+D32+D33+D34+D35+D36+D37+D38+D23</f>
        <v>59815.00000000001</v>
      </c>
      <c r="E22" s="41">
        <f>E24+E25+E26+E27+E28+E29+E30+E31+E32+E33+E34+E35+E36+E37+E38+E23</f>
        <v>24641.100000000002</v>
      </c>
      <c r="F22" s="41">
        <f>F24+F25+F26+F27+F28+F29+F30+F31+F32+F33+F34+F35+F36+F37+F38+F23</f>
        <v>92629</v>
      </c>
      <c r="G22" s="41">
        <f>G24+G25+G26+G27+G28+G29+G30+G31+G32+G33+G34+G35+G36+G37+G38</f>
        <v>31816.8</v>
      </c>
      <c r="H22" s="41">
        <f>H24+H25+H26+H27+H28+H29+H30+H31+H32+H33+H34+H35+H36+H37+H38</f>
        <v>0</v>
      </c>
      <c r="I22" s="61" t="e">
        <f>I24+#REF!+I25+I26+#REF!+#REF!+#REF!+I28+I29+I30+I31+I32+I33+I35+I34+#REF!+#REF!+#REF!+#REF!+#REF!+#REF!+I27+#REF!+I36+#REF!+#REF!</f>
        <v>#REF!</v>
      </c>
      <c r="J22" s="57">
        <f t="shared" si="2"/>
        <v>208901.9</v>
      </c>
      <c r="K22" s="62"/>
      <c r="L22" s="23">
        <f>K22-J22</f>
        <v>-208901.9</v>
      </c>
    </row>
    <row r="23" spans="1:12" s="18" customFormat="1" ht="27.75" customHeight="1">
      <c r="A23" s="58" t="s">
        <v>76</v>
      </c>
      <c r="B23" s="145" t="s">
        <v>77</v>
      </c>
      <c r="C23" s="26">
        <f t="shared" si="1"/>
        <v>1517.4</v>
      </c>
      <c r="D23" s="61"/>
      <c r="E23" s="61"/>
      <c r="F23" s="26">
        <v>1517.4</v>
      </c>
      <c r="G23" s="61"/>
      <c r="H23" s="61"/>
      <c r="I23" s="61"/>
      <c r="J23" s="59">
        <f t="shared" si="2"/>
        <v>1517.4</v>
      </c>
      <c r="K23" s="295"/>
      <c r="L23" s="23"/>
    </row>
    <row r="24" spans="1:12" ht="15.75" customHeight="1">
      <c r="A24" s="58" t="s">
        <v>233</v>
      </c>
      <c r="B24" s="17" t="s">
        <v>234</v>
      </c>
      <c r="C24" s="26">
        <f t="shared" si="1"/>
        <v>0.6</v>
      </c>
      <c r="D24" s="26"/>
      <c r="E24" s="26"/>
      <c r="F24" s="26">
        <v>0.6</v>
      </c>
      <c r="G24" s="26"/>
      <c r="H24" s="26"/>
      <c r="I24" s="26"/>
      <c r="J24" s="59">
        <f t="shared" si="2"/>
        <v>0.6</v>
      </c>
      <c r="K24" s="174"/>
      <c r="L24" s="23"/>
    </row>
    <row r="25" spans="1:12" ht="110.25" customHeight="1">
      <c r="A25" s="58" t="s">
        <v>101</v>
      </c>
      <c r="B25" s="20" t="s">
        <v>100</v>
      </c>
      <c r="C25" s="26">
        <f t="shared" si="1"/>
        <v>156064.9</v>
      </c>
      <c r="D25" s="26">
        <v>57682.3</v>
      </c>
      <c r="E25" s="26">
        <v>23989.2</v>
      </c>
      <c r="F25" s="26">
        <f>74357.4+36</f>
        <v>74393.4</v>
      </c>
      <c r="G25" s="26">
        <v>31816.8</v>
      </c>
      <c r="H25" s="26"/>
      <c r="I25" s="26"/>
      <c r="J25" s="59">
        <f t="shared" si="2"/>
        <v>187881.69999999998</v>
      </c>
      <c r="K25" s="174"/>
      <c r="L25" s="23"/>
    </row>
    <row r="26" spans="1:12" ht="27" customHeight="1">
      <c r="A26" s="58" t="s">
        <v>237</v>
      </c>
      <c r="B26" s="17" t="s">
        <v>238</v>
      </c>
      <c r="C26" s="26">
        <f t="shared" si="1"/>
        <v>329.5</v>
      </c>
      <c r="D26" s="26"/>
      <c r="E26" s="26"/>
      <c r="F26" s="26">
        <v>329.5</v>
      </c>
      <c r="G26" s="26"/>
      <c r="H26" s="26"/>
      <c r="I26" s="26"/>
      <c r="J26" s="59">
        <f t="shared" si="2"/>
        <v>329.5</v>
      </c>
      <c r="K26" s="174"/>
      <c r="L26" s="23"/>
    </row>
    <row r="27" spans="1:12" ht="14.25" customHeight="1">
      <c r="A27" s="58" t="s">
        <v>98</v>
      </c>
      <c r="B27" s="17" t="s">
        <v>114</v>
      </c>
      <c r="C27" s="26">
        <f t="shared" si="1"/>
        <v>1226.9</v>
      </c>
      <c r="D27" s="26"/>
      <c r="E27" s="26"/>
      <c r="F27" s="26">
        <v>1226.9</v>
      </c>
      <c r="G27" s="26"/>
      <c r="H27" s="26"/>
      <c r="I27" s="26"/>
      <c r="J27" s="59">
        <f t="shared" si="2"/>
        <v>1226.9</v>
      </c>
      <c r="K27" s="174"/>
      <c r="L27" s="23"/>
    </row>
    <row r="28" spans="1:12" ht="13.5" customHeight="1">
      <c r="A28" s="58" t="s">
        <v>38</v>
      </c>
      <c r="B28" s="17" t="s">
        <v>39</v>
      </c>
      <c r="C28" s="26">
        <f aca="true" t="shared" si="3" ref="C28:C38">D28+E28+F28</f>
        <v>899.6999999999999</v>
      </c>
      <c r="D28" s="26">
        <v>527.8</v>
      </c>
      <c r="E28" s="26">
        <v>26.9</v>
      </c>
      <c r="F28" s="26">
        <v>345</v>
      </c>
      <c r="G28" s="26"/>
      <c r="H28" s="26"/>
      <c r="I28" s="26"/>
      <c r="J28" s="59">
        <f t="shared" si="2"/>
        <v>899.6999999999999</v>
      </c>
      <c r="K28" s="174"/>
      <c r="L28" s="23"/>
    </row>
    <row r="29" spans="1:12" ht="25.5">
      <c r="A29" s="58" t="s">
        <v>40</v>
      </c>
      <c r="B29" s="17" t="s">
        <v>41</v>
      </c>
      <c r="C29" s="26">
        <f t="shared" si="3"/>
        <v>176.6</v>
      </c>
      <c r="D29" s="26"/>
      <c r="E29" s="26"/>
      <c r="F29" s="26">
        <v>176.6</v>
      </c>
      <c r="G29" s="26"/>
      <c r="H29" s="26"/>
      <c r="I29" s="26"/>
      <c r="J29" s="59">
        <f t="shared" si="2"/>
        <v>176.6</v>
      </c>
      <c r="K29" s="174"/>
      <c r="L29" s="23"/>
    </row>
    <row r="30" spans="1:12" ht="25.5">
      <c r="A30" s="58" t="s">
        <v>42</v>
      </c>
      <c r="B30" s="17" t="s">
        <v>91</v>
      </c>
      <c r="C30" s="26">
        <f t="shared" si="3"/>
        <v>1080.6</v>
      </c>
      <c r="D30" s="26"/>
      <c r="E30" s="26"/>
      <c r="F30" s="26">
        <v>1080.6</v>
      </c>
      <c r="G30" s="26"/>
      <c r="H30" s="26"/>
      <c r="I30" s="26"/>
      <c r="J30" s="59">
        <f t="shared" si="2"/>
        <v>1080.6</v>
      </c>
      <c r="K30" s="174"/>
      <c r="L30" s="23"/>
    </row>
    <row r="31" spans="1:12" ht="25.5">
      <c r="A31" s="58" t="s">
        <v>43</v>
      </c>
      <c r="B31" s="17" t="s">
        <v>44</v>
      </c>
      <c r="C31" s="26">
        <f t="shared" si="3"/>
        <v>132</v>
      </c>
      <c r="D31" s="26"/>
      <c r="E31" s="26"/>
      <c r="F31" s="26">
        <v>132</v>
      </c>
      <c r="G31" s="26"/>
      <c r="H31" s="26"/>
      <c r="I31" s="26"/>
      <c r="J31" s="59">
        <f t="shared" si="2"/>
        <v>132</v>
      </c>
      <c r="K31" s="174"/>
      <c r="L31" s="23"/>
    </row>
    <row r="32" spans="1:12" ht="12.75">
      <c r="A32" s="58" t="s">
        <v>45</v>
      </c>
      <c r="B32" s="17" t="s">
        <v>46</v>
      </c>
      <c r="C32" s="26">
        <f t="shared" si="3"/>
        <v>1247.9</v>
      </c>
      <c r="D32" s="26">
        <v>497.4</v>
      </c>
      <c r="E32" s="26">
        <v>108</v>
      </c>
      <c r="F32" s="26">
        <v>642.5</v>
      </c>
      <c r="G32" s="26"/>
      <c r="H32" s="26"/>
      <c r="I32" s="26"/>
      <c r="J32" s="59">
        <f t="shared" si="2"/>
        <v>1247.9</v>
      </c>
      <c r="K32" s="174"/>
      <c r="L32" s="23"/>
    </row>
    <row r="33" spans="1:12" ht="12.75">
      <c r="A33" s="58" t="s">
        <v>47</v>
      </c>
      <c r="B33" s="17" t="s">
        <v>48</v>
      </c>
      <c r="C33" s="26">
        <f t="shared" si="3"/>
        <v>2813.4</v>
      </c>
      <c r="D33" s="26">
        <v>1107.5</v>
      </c>
      <c r="E33" s="26">
        <v>517</v>
      </c>
      <c r="F33" s="26">
        <v>1188.9</v>
      </c>
      <c r="G33" s="26"/>
      <c r="H33" s="26"/>
      <c r="I33" s="26"/>
      <c r="J33" s="59">
        <f t="shared" si="2"/>
        <v>2813.4</v>
      </c>
      <c r="K33" s="174"/>
      <c r="L33" s="23"/>
    </row>
    <row r="34" spans="1:12" ht="25.5">
      <c r="A34" s="58" t="s">
        <v>49</v>
      </c>
      <c r="B34" s="17" t="s">
        <v>50</v>
      </c>
      <c r="C34" s="26">
        <f t="shared" si="3"/>
        <v>188.5</v>
      </c>
      <c r="D34" s="26"/>
      <c r="E34" s="26"/>
      <c r="F34" s="26">
        <v>188.5</v>
      </c>
      <c r="G34" s="26"/>
      <c r="H34" s="26"/>
      <c r="I34" s="26"/>
      <c r="J34" s="59">
        <f t="shared" si="2"/>
        <v>188.5</v>
      </c>
      <c r="K34" s="174"/>
      <c r="L34" s="23"/>
    </row>
    <row r="35" spans="1:12" ht="50.25" customHeight="1">
      <c r="A35" s="58" t="s">
        <v>74</v>
      </c>
      <c r="B35" s="20" t="s">
        <v>75</v>
      </c>
      <c r="C35" s="26">
        <f t="shared" si="3"/>
        <v>9429.599999999999</v>
      </c>
      <c r="D35" s="26"/>
      <c r="E35" s="26"/>
      <c r="F35" s="26">
        <f>217.8+9211.8</f>
        <v>9429.599999999999</v>
      </c>
      <c r="G35" s="26"/>
      <c r="H35" s="26"/>
      <c r="I35" s="26"/>
      <c r="J35" s="59">
        <f t="shared" si="2"/>
        <v>9429.599999999999</v>
      </c>
      <c r="K35" s="174"/>
      <c r="L35" s="23"/>
    </row>
    <row r="36" spans="1:12" ht="68.25" customHeight="1">
      <c r="A36" s="58" t="s">
        <v>195</v>
      </c>
      <c r="B36" s="20" t="s">
        <v>196</v>
      </c>
      <c r="C36" s="26">
        <f t="shared" si="3"/>
        <v>0.8</v>
      </c>
      <c r="D36" s="26"/>
      <c r="E36" s="26"/>
      <c r="F36" s="26">
        <v>0.8</v>
      </c>
      <c r="G36" s="26"/>
      <c r="H36" s="26"/>
      <c r="I36" s="26"/>
      <c r="J36" s="59">
        <f t="shared" si="2"/>
        <v>0.8</v>
      </c>
      <c r="K36" s="174"/>
      <c r="L36" s="23"/>
    </row>
    <row r="37" spans="1:12" ht="38.25">
      <c r="A37" s="58" t="s">
        <v>279</v>
      </c>
      <c r="B37" s="20" t="s">
        <v>284</v>
      </c>
      <c r="C37" s="26">
        <f t="shared" si="3"/>
        <v>1000</v>
      </c>
      <c r="D37" s="26"/>
      <c r="E37" s="26"/>
      <c r="F37" s="26">
        <v>1000</v>
      </c>
      <c r="G37" s="26"/>
      <c r="H37" s="26"/>
      <c r="I37" s="26"/>
      <c r="J37" s="59">
        <f t="shared" si="2"/>
        <v>1000</v>
      </c>
      <c r="K37" s="174"/>
      <c r="L37" s="23"/>
    </row>
    <row r="38" spans="1:12" ht="12.75">
      <c r="A38" s="58" t="s">
        <v>285</v>
      </c>
      <c r="B38" s="20" t="s">
        <v>281</v>
      </c>
      <c r="C38" s="26">
        <f t="shared" si="3"/>
        <v>976.7</v>
      </c>
      <c r="D38" s="26"/>
      <c r="E38" s="26"/>
      <c r="F38" s="26">
        <v>976.7</v>
      </c>
      <c r="G38" s="26"/>
      <c r="H38" s="26"/>
      <c r="I38" s="26"/>
      <c r="J38" s="59">
        <f t="shared" si="2"/>
        <v>976.7</v>
      </c>
      <c r="K38" s="174"/>
      <c r="L38" s="23"/>
    </row>
    <row r="39" spans="1:15" s="18" customFormat="1" ht="12.75">
      <c r="A39" s="56"/>
      <c r="B39" s="22" t="s">
        <v>239</v>
      </c>
      <c r="C39" s="41">
        <f>D39+E39+F39</f>
        <v>4651.8</v>
      </c>
      <c r="D39" s="41"/>
      <c r="E39" s="41"/>
      <c r="F39" s="41">
        <f>F40</f>
        <v>4651.8</v>
      </c>
      <c r="G39" s="41">
        <f>G40+G41</f>
        <v>13540.8</v>
      </c>
      <c r="H39" s="41">
        <f>H40+H41</f>
        <v>0</v>
      </c>
      <c r="I39" s="41"/>
      <c r="J39" s="57">
        <f t="shared" si="2"/>
        <v>18192.6</v>
      </c>
      <c r="K39" s="175"/>
      <c r="L39" s="23">
        <f>K39-C39</f>
        <v>-4651.8</v>
      </c>
      <c r="O39" s="179"/>
    </row>
    <row r="40" spans="1:12" s="18" customFormat="1" ht="13.5" customHeight="1">
      <c r="A40" s="58" t="s">
        <v>344</v>
      </c>
      <c r="B40" s="17" t="s">
        <v>345</v>
      </c>
      <c r="C40" s="26">
        <f>F40</f>
        <v>4651.8</v>
      </c>
      <c r="D40" s="26"/>
      <c r="E40" s="26"/>
      <c r="F40" s="21">
        <f>4956.8-305</f>
        <v>4651.8</v>
      </c>
      <c r="G40" s="26"/>
      <c r="H40" s="26"/>
      <c r="I40" s="41"/>
      <c r="J40" s="59">
        <f t="shared" si="2"/>
        <v>4651.8</v>
      </c>
      <c r="K40" s="175"/>
      <c r="L40" s="23"/>
    </row>
    <row r="41" spans="1:12" s="18" customFormat="1" ht="115.5" customHeight="1">
      <c r="A41" s="58" t="s">
        <v>321</v>
      </c>
      <c r="B41" s="47" t="s">
        <v>324</v>
      </c>
      <c r="C41" s="26"/>
      <c r="D41" s="26"/>
      <c r="E41" s="26"/>
      <c r="F41" s="26"/>
      <c r="G41" s="26">
        <v>13540.8</v>
      </c>
      <c r="H41" s="26"/>
      <c r="I41" s="41"/>
      <c r="J41" s="59">
        <f t="shared" si="2"/>
        <v>13540.8</v>
      </c>
      <c r="K41" s="175"/>
      <c r="L41" s="23"/>
    </row>
    <row r="42" spans="1:12" s="18" customFormat="1" ht="15" customHeight="1">
      <c r="A42" s="63">
        <v>110000</v>
      </c>
      <c r="B42" s="22" t="s">
        <v>51</v>
      </c>
      <c r="C42" s="41">
        <f>D42+E42+F42</f>
        <v>92030.2</v>
      </c>
      <c r="D42" s="41">
        <v>8510.7</v>
      </c>
      <c r="E42" s="41">
        <v>2172</v>
      </c>
      <c r="F42" s="41">
        <f>62416.7+17930.8+1000</f>
        <v>81347.5</v>
      </c>
      <c r="G42" s="41">
        <v>1331.4</v>
      </c>
      <c r="H42" s="41">
        <f>H43+H44+H46</f>
        <v>0</v>
      </c>
      <c r="I42" s="41"/>
      <c r="J42" s="57">
        <f t="shared" si="2"/>
        <v>93361.59999999999</v>
      </c>
      <c r="K42" s="175"/>
      <c r="L42" s="23">
        <f>K42-J42</f>
        <v>-93361.59999999999</v>
      </c>
    </row>
    <row r="43" spans="1:12" ht="15" customHeight="1">
      <c r="A43" s="64" t="s">
        <v>52</v>
      </c>
      <c r="B43" s="17" t="s">
        <v>53</v>
      </c>
      <c r="C43" s="26">
        <f>D43+E43+F43</f>
        <v>49498.5</v>
      </c>
      <c r="D43" s="26"/>
      <c r="E43" s="26"/>
      <c r="F43" s="26">
        <f>34149.1+15349.4</f>
        <v>49498.5</v>
      </c>
      <c r="G43" s="26"/>
      <c r="H43" s="26"/>
      <c r="I43" s="26"/>
      <c r="J43" s="59">
        <f t="shared" si="2"/>
        <v>49498.5</v>
      </c>
      <c r="K43" s="174"/>
      <c r="L43" s="23"/>
    </row>
    <row r="44" spans="1:12" ht="25.5">
      <c r="A44" s="64" t="s">
        <v>54</v>
      </c>
      <c r="B44" s="17" t="s">
        <v>55</v>
      </c>
      <c r="C44" s="26">
        <f>D44+E44+F44</f>
        <v>22033.4</v>
      </c>
      <c r="D44" s="26"/>
      <c r="E44" s="26">
        <v>15</v>
      </c>
      <c r="F44" s="26">
        <f>18437+2581.4+1000</f>
        <v>22018.4</v>
      </c>
      <c r="G44" s="26"/>
      <c r="H44" s="26"/>
      <c r="I44" s="26"/>
      <c r="J44" s="59">
        <f t="shared" si="2"/>
        <v>22033.4</v>
      </c>
      <c r="K44" s="174"/>
      <c r="L44" s="23"/>
    </row>
    <row r="45" spans="1:12" ht="12.75">
      <c r="A45" s="64" t="s">
        <v>287</v>
      </c>
      <c r="B45" s="17" t="s">
        <v>288</v>
      </c>
      <c r="C45" s="26"/>
      <c r="D45" s="26"/>
      <c r="E45" s="26"/>
      <c r="F45" s="26"/>
      <c r="G45" s="26">
        <v>130</v>
      </c>
      <c r="H45" s="26"/>
      <c r="I45" s="26"/>
      <c r="J45" s="59">
        <f t="shared" si="2"/>
        <v>130</v>
      </c>
      <c r="K45" s="174"/>
      <c r="L45" s="23"/>
    </row>
    <row r="46" spans="1:12" ht="12.75">
      <c r="A46" s="64">
        <v>110300</v>
      </c>
      <c r="B46" s="17" t="s">
        <v>240</v>
      </c>
      <c r="C46" s="26">
        <f aca="true" t="shared" si="4" ref="C46:C52">D46+E46+F46</f>
        <v>724</v>
      </c>
      <c r="D46" s="26"/>
      <c r="E46" s="26"/>
      <c r="F46" s="26">
        <v>724</v>
      </c>
      <c r="G46" s="26"/>
      <c r="H46" s="26"/>
      <c r="I46" s="26"/>
      <c r="J46" s="59">
        <f t="shared" si="2"/>
        <v>724</v>
      </c>
      <c r="K46" s="174"/>
      <c r="L46" s="23"/>
    </row>
    <row r="47" spans="1:12" s="18" customFormat="1" ht="12" customHeight="1">
      <c r="A47" s="63">
        <v>120000</v>
      </c>
      <c r="B47" s="53" t="s">
        <v>241</v>
      </c>
      <c r="C47" s="41">
        <f t="shared" si="4"/>
        <v>1303.8</v>
      </c>
      <c r="D47" s="123">
        <f>D49</f>
        <v>0</v>
      </c>
      <c r="E47" s="123">
        <f>E49</f>
        <v>0</v>
      </c>
      <c r="F47" s="41">
        <f>F49+F48</f>
        <v>1303.8</v>
      </c>
      <c r="G47" s="41"/>
      <c r="H47" s="41"/>
      <c r="I47" s="41"/>
      <c r="J47" s="57">
        <f t="shared" si="2"/>
        <v>1303.8</v>
      </c>
      <c r="K47" s="175"/>
      <c r="L47" s="23">
        <f>K47-C47</f>
        <v>-1303.8</v>
      </c>
    </row>
    <row r="48" spans="1:12" s="18" customFormat="1" ht="12" customHeight="1">
      <c r="A48" s="64" t="s">
        <v>350</v>
      </c>
      <c r="B48" s="303" t="s">
        <v>351</v>
      </c>
      <c r="C48" s="41">
        <f t="shared" si="4"/>
        <v>500</v>
      </c>
      <c r="D48" s="130"/>
      <c r="E48" s="130"/>
      <c r="F48" s="26">
        <v>500</v>
      </c>
      <c r="G48" s="26"/>
      <c r="H48" s="26"/>
      <c r="I48" s="26"/>
      <c r="J48" s="59"/>
      <c r="K48" s="175"/>
      <c r="L48" s="23"/>
    </row>
    <row r="49" spans="1:12" ht="15" customHeight="1">
      <c r="A49" s="64">
        <v>120300</v>
      </c>
      <c r="B49" s="17" t="s">
        <v>242</v>
      </c>
      <c r="C49" s="26">
        <f t="shared" si="4"/>
        <v>803.8</v>
      </c>
      <c r="D49" s="26"/>
      <c r="E49" s="26"/>
      <c r="F49" s="26">
        <v>803.8</v>
      </c>
      <c r="G49" s="26"/>
      <c r="H49" s="26"/>
      <c r="I49" s="26"/>
      <c r="J49" s="59">
        <f t="shared" si="2"/>
        <v>803.8</v>
      </c>
      <c r="K49" s="174"/>
      <c r="L49" s="23"/>
    </row>
    <row r="50" spans="1:12" s="18" customFormat="1" ht="15" customHeight="1">
      <c r="A50" s="63">
        <v>130000</v>
      </c>
      <c r="B50" s="22" t="s">
        <v>243</v>
      </c>
      <c r="C50" s="41">
        <f t="shared" si="4"/>
        <v>36062</v>
      </c>
      <c r="D50" s="41">
        <v>9081.8</v>
      </c>
      <c r="E50" s="41">
        <v>432.9</v>
      </c>
      <c r="F50" s="41">
        <f>25547.3+1000</f>
        <v>26547.3</v>
      </c>
      <c r="G50" s="41"/>
      <c r="H50" s="41"/>
      <c r="I50" s="41"/>
      <c r="J50" s="57">
        <f t="shared" si="2"/>
        <v>36062</v>
      </c>
      <c r="K50" s="175"/>
      <c r="L50" s="23">
        <f>K50-C50</f>
        <v>-36062</v>
      </c>
    </row>
    <row r="51" spans="1:15" s="18" customFormat="1" ht="15" customHeight="1">
      <c r="A51" s="63">
        <v>150000</v>
      </c>
      <c r="B51" s="22" t="s">
        <v>244</v>
      </c>
      <c r="C51" s="41">
        <f t="shared" si="4"/>
        <v>300</v>
      </c>
      <c r="D51" s="41"/>
      <c r="E51" s="41"/>
      <c r="F51" s="41">
        <f>300</f>
        <v>300</v>
      </c>
      <c r="G51" s="41">
        <f>G52+G53</f>
        <v>56539.1</v>
      </c>
      <c r="H51" s="41">
        <f>H52</f>
        <v>49728.6</v>
      </c>
      <c r="I51" s="41" t="e">
        <f>#REF!+#REF!+#REF!+#REF!+#REF!+#REF!+#REF!+3800+6400-5400-1954.7</f>
        <v>#REF!</v>
      </c>
      <c r="J51" s="57">
        <f>G51+C51</f>
        <v>56839.1</v>
      </c>
      <c r="K51" s="177"/>
      <c r="L51" s="23">
        <f>K51-C51</f>
        <v>-300</v>
      </c>
      <c r="O51" s="179"/>
    </row>
    <row r="52" spans="1:12" s="18" customFormat="1" ht="15" customHeight="1">
      <c r="A52" s="64">
        <v>150101</v>
      </c>
      <c r="B52" s="17" t="s">
        <v>245</v>
      </c>
      <c r="C52" s="26">
        <f t="shared" si="4"/>
        <v>0</v>
      </c>
      <c r="D52" s="41"/>
      <c r="E52" s="41"/>
      <c r="F52" s="41"/>
      <c r="G52" s="26">
        <f>56539.1-543</f>
        <v>55996.1</v>
      </c>
      <c r="H52" s="26">
        <f>64137.2-11355.2-3053.4</f>
        <v>49728.6</v>
      </c>
      <c r="I52" s="41"/>
      <c r="J52" s="59">
        <f>C52+G52</f>
        <v>55996.1</v>
      </c>
      <c r="K52" s="177"/>
      <c r="L52" s="23">
        <f>K52-C52</f>
        <v>0</v>
      </c>
    </row>
    <row r="53" spans="1:12" s="18" customFormat="1" ht="27" customHeight="1">
      <c r="A53" s="64" t="s">
        <v>354</v>
      </c>
      <c r="B53" s="65" t="s">
        <v>355</v>
      </c>
      <c r="C53" s="26"/>
      <c r="D53" s="41"/>
      <c r="E53" s="41"/>
      <c r="F53" s="41"/>
      <c r="G53" s="26">
        <v>543</v>
      </c>
      <c r="H53" s="26"/>
      <c r="I53" s="41"/>
      <c r="J53" s="59">
        <f>C53+G53</f>
        <v>543</v>
      </c>
      <c r="K53" s="177"/>
      <c r="L53" s="23"/>
    </row>
    <row r="54" spans="1:12" s="18" customFormat="1" ht="25.5">
      <c r="A54" s="63">
        <v>170000</v>
      </c>
      <c r="B54" s="22" t="s">
        <v>246</v>
      </c>
      <c r="C54" s="41">
        <f>C55</f>
        <v>0</v>
      </c>
      <c r="D54" s="41"/>
      <c r="E54" s="41"/>
      <c r="F54" s="41">
        <f>F55</f>
        <v>0</v>
      </c>
      <c r="G54" s="41">
        <f>G55</f>
        <v>52200</v>
      </c>
      <c r="H54" s="41"/>
      <c r="I54" s="41" t="e">
        <f>I55+#REF!+#REF!</f>
        <v>#REF!</v>
      </c>
      <c r="J54" s="57">
        <f>G54+C54</f>
        <v>52200</v>
      </c>
      <c r="K54" s="175"/>
      <c r="L54" s="23">
        <f>K54-C54</f>
        <v>0</v>
      </c>
    </row>
    <row r="55" spans="1:12" ht="38.25">
      <c r="A55" s="64">
        <v>170703</v>
      </c>
      <c r="B55" s="17" t="s">
        <v>56</v>
      </c>
      <c r="C55" s="26">
        <f>D55+E55+F55</f>
        <v>0</v>
      </c>
      <c r="D55" s="130"/>
      <c r="E55" s="130"/>
      <c r="F55" s="26"/>
      <c r="G55" s="26">
        <v>52200</v>
      </c>
      <c r="H55" s="26"/>
      <c r="I55" s="26"/>
      <c r="J55" s="59">
        <f aca="true" t="shared" si="5" ref="J55:J65">C55+G55</f>
        <v>52200</v>
      </c>
      <c r="K55" s="174"/>
      <c r="L55" s="23"/>
    </row>
    <row r="56" spans="1:12" ht="25.5">
      <c r="A56" s="63" t="s">
        <v>348</v>
      </c>
      <c r="B56" s="22" t="s">
        <v>349</v>
      </c>
      <c r="C56" s="41">
        <f>D56+E56+F56</f>
        <v>2196</v>
      </c>
      <c r="D56" s="130"/>
      <c r="E56" s="130"/>
      <c r="F56" s="41">
        <v>2196</v>
      </c>
      <c r="G56" s="26"/>
      <c r="H56" s="26"/>
      <c r="I56" s="26"/>
      <c r="J56" s="57">
        <f t="shared" si="5"/>
        <v>2196</v>
      </c>
      <c r="K56" s="174"/>
      <c r="L56" s="23"/>
    </row>
    <row r="57" spans="1:12" ht="27.75" customHeight="1">
      <c r="A57" s="63">
        <v>180109</v>
      </c>
      <c r="B57" s="22" t="s">
        <v>248</v>
      </c>
      <c r="C57" s="41">
        <f>D57+E57+F57</f>
        <v>86411.8</v>
      </c>
      <c r="D57" s="26"/>
      <c r="E57" s="26"/>
      <c r="F57" s="41">
        <f>102020.3-930.8-2000-10379.7+305+93-2196-500</f>
        <v>86411.8</v>
      </c>
      <c r="G57" s="41"/>
      <c r="H57" s="41"/>
      <c r="I57" s="26"/>
      <c r="J57" s="57">
        <f t="shared" si="5"/>
        <v>86411.8</v>
      </c>
      <c r="K57" s="174"/>
      <c r="L57" s="23">
        <f>K57-C57</f>
        <v>-86411.8</v>
      </c>
    </row>
    <row r="58" spans="1:12" s="18" customFormat="1" ht="33.75" customHeight="1">
      <c r="A58" s="63">
        <v>210000</v>
      </c>
      <c r="B58" s="52" t="s">
        <v>59</v>
      </c>
      <c r="C58" s="41">
        <f>D58+E58+F58</f>
        <v>1250.9</v>
      </c>
      <c r="D58" s="41"/>
      <c r="E58" s="41"/>
      <c r="F58" s="41">
        <f>1220+30.9</f>
        <v>1250.9</v>
      </c>
      <c r="G58" s="41"/>
      <c r="H58" s="41"/>
      <c r="I58" s="41"/>
      <c r="J58" s="57">
        <f t="shared" si="5"/>
        <v>1250.9</v>
      </c>
      <c r="K58" s="177"/>
      <c r="L58" s="23">
        <f>K58-C58</f>
        <v>-1250.9</v>
      </c>
    </row>
    <row r="59" spans="1:12" s="18" customFormat="1" ht="13.5" customHeight="1">
      <c r="A59" s="56">
        <v>240000</v>
      </c>
      <c r="B59" s="22" t="s">
        <v>249</v>
      </c>
      <c r="C59" s="41">
        <f>C60</f>
        <v>0</v>
      </c>
      <c r="D59" s="123">
        <f>D60</f>
        <v>0</v>
      </c>
      <c r="E59" s="123">
        <f>E60</f>
        <v>0</v>
      </c>
      <c r="F59" s="123">
        <f>F60</f>
        <v>0</v>
      </c>
      <c r="G59" s="41">
        <f>G60</f>
        <v>105400</v>
      </c>
      <c r="H59" s="41"/>
      <c r="I59" s="41"/>
      <c r="J59" s="57">
        <f t="shared" si="5"/>
        <v>105400</v>
      </c>
      <c r="K59" s="175"/>
      <c r="L59" s="23">
        <f>K59-C59</f>
        <v>0</v>
      </c>
    </row>
    <row r="60" spans="1:12" ht="70.5" customHeight="1">
      <c r="A60" s="58" t="s">
        <v>306</v>
      </c>
      <c r="B60" s="20" t="s">
        <v>250</v>
      </c>
      <c r="C60" s="130">
        <f aca="true" t="shared" si="6" ref="C60:C65">D60+E60+F60</f>
        <v>0</v>
      </c>
      <c r="D60" s="130"/>
      <c r="E60" s="130"/>
      <c r="F60" s="130"/>
      <c r="G60" s="26">
        <v>105400</v>
      </c>
      <c r="H60" s="26"/>
      <c r="I60" s="26"/>
      <c r="J60" s="59">
        <f t="shared" si="5"/>
        <v>105400</v>
      </c>
      <c r="K60" s="174"/>
      <c r="L60" s="23">
        <f>K60-C60</f>
        <v>0</v>
      </c>
    </row>
    <row r="61" spans="1:12" s="18" customFormat="1" ht="12.75">
      <c r="A61" s="63">
        <v>250000</v>
      </c>
      <c r="B61" s="66" t="s">
        <v>251</v>
      </c>
      <c r="C61" s="41">
        <f t="shared" si="6"/>
        <v>61693.299999999996</v>
      </c>
      <c r="D61" s="61">
        <f>D62+D65+D63</f>
        <v>0</v>
      </c>
      <c r="E61" s="61">
        <f>E62+E65+E63</f>
        <v>0</v>
      </c>
      <c r="F61" s="61">
        <f>F62+F65+F63+F64</f>
        <v>61693.299999999996</v>
      </c>
      <c r="G61" s="61">
        <f>G64</f>
        <v>9916.3</v>
      </c>
      <c r="H61" s="61"/>
      <c r="I61" s="61" t="e">
        <f>I62+#REF!+I65+I63+#REF!</f>
        <v>#REF!</v>
      </c>
      <c r="J61" s="62">
        <f t="shared" si="5"/>
        <v>71609.59999999999</v>
      </c>
      <c r="K61" s="175"/>
      <c r="L61" s="23"/>
    </row>
    <row r="62" spans="1:12" ht="15.75" customHeight="1">
      <c r="A62" s="64">
        <v>250102</v>
      </c>
      <c r="B62" s="17" t="s">
        <v>252</v>
      </c>
      <c r="C62" s="26">
        <f t="shared" si="6"/>
        <v>10000</v>
      </c>
      <c r="D62" s="26"/>
      <c r="E62" s="26"/>
      <c r="F62" s="26">
        <v>10000</v>
      </c>
      <c r="G62" s="26"/>
      <c r="H62" s="26"/>
      <c r="I62" s="26"/>
      <c r="J62" s="59">
        <f t="shared" si="5"/>
        <v>10000</v>
      </c>
      <c r="K62" s="174"/>
      <c r="L62" s="23">
        <f>K62-C62</f>
        <v>-10000</v>
      </c>
    </row>
    <row r="63" spans="1:12" ht="26.25" customHeight="1">
      <c r="A63" s="64">
        <v>250306</v>
      </c>
      <c r="B63" s="17" t="s">
        <v>257</v>
      </c>
      <c r="C63" s="26">
        <f t="shared" si="6"/>
        <v>43732</v>
      </c>
      <c r="D63" s="26"/>
      <c r="E63" s="26"/>
      <c r="F63" s="26">
        <f>60732-17000</f>
        <v>43732</v>
      </c>
      <c r="G63" s="26"/>
      <c r="H63" s="26"/>
      <c r="I63" s="26"/>
      <c r="J63" s="59">
        <f t="shared" si="5"/>
        <v>43732</v>
      </c>
      <c r="K63" s="174"/>
      <c r="L63" s="23">
        <f>K63-C63</f>
        <v>-43732</v>
      </c>
    </row>
    <row r="64" spans="1:12" ht="26.25" customHeight="1">
      <c r="A64" s="64" t="s">
        <v>60</v>
      </c>
      <c r="B64" s="17" t="s">
        <v>333</v>
      </c>
      <c r="C64" s="26">
        <f t="shared" si="6"/>
        <v>7270.1</v>
      </c>
      <c r="D64" s="26"/>
      <c r="E64" s="26"/>
      <c r="F64" s="26">
        <v>7270.1</v>
      </c>
      <c r="G64" s="26">
        <v>9916.3</v>
      </c>
      <c r="H64" s="26"/>
      <c r="I64" s="26"/>
      <c r="J64" s="59">
        <f t="shared" si="5"/>
        <v>17186.4</v>
      </c>
      <c r="K64" s="174"/>
      <c r="L64" s="23"/>
    </row>
    <row r="65" spans="1:15" ht="12.75">
      <c r="A65" s="64">
        <v>250404</v>
      </c>
      <c r="B65" s="17" t="s">
        <v>253</v>
      </c>
      <c r="C65" s="26">
        <f t="shared" si="6"/>
        <v>691.2</v>
      </c>
      <c r="D65" s="26"/>
      <c r="E65" s="26"/>
      <c r="F65" s="26">
        <v>691.2</v>
      </c>
      <c r="G65" s="26"/>
      <c r="H65" s="26"/>
      <c r="I65" s="26"/>
      <c r="J65" s="59">
        <f t="shared" si="5"/>
        <v>691.2</v>
      </c>
      <c r="K65" s="174"/>
      <c r="L65" s="23">
        <f aca="true" t="shared" si="7" ref="L65:L76">K65-C65</f>
        <v>-691.2</v>
      </c>
      <c r="O65" s="28"/>
    </row>
    <row r="66" spans="1:13" s="18" customFormat="1" ht="18" customHeight="1">
      <c r="A66" s="63"/>
      <c r="B66" s="22" t="s">
        <v>254</v>
      </c>
      <c r="C66" s="41">
        <f>C61+C59+C58+C57+C54+C51+C50+C47+C42+C39+C22+C18+C15+C13+C56</f>
        <v>1736924.7</v>
      </c>
      <c r="D66" s="41">
        <f>D61+D59+D58+D57+D54+D51+D50+D47+D42+D39+D22+D18+D15+D13+D56+D58</f>
        <v>595245.9</v>
      </c>
      <c r="E66" s="41">
        <f>E61+E59+E58+E57+E54+E51+E50+E47+E42+E39+E22+E18+E15+E13+E56+E58</f>
        <v>157188.59999999998</v>
      </c>
      <c r="F66" s="41">
        <f>F61+F59+F58+F57+F54+F51+F50+F47+F42+F39+F22+F18+F15+F13+F56</f>
        <v>984490.2</v>
      </c>
      <c r="G66" s="41">
        <f>G61+G59+G58+G57+G54+G51+G50+G47+G42+G39+G22+G18+G15+G13</f>
        <v>306451.3</v>
      </c>
      <c r="H66" s="41">
        <f>H61+H59+H58+H57+H54+H51+H50+H47+H42+H39+H22+H18+H15+H13</f>
        <v>49728.6</v>
      </c>
      <c r="I66" s="41" t="e">
        <f>I61+I60+#REF!+#REF!+I58+#REF!+#REF!+I57+I54+I51+I50+I47+I42+I39+I22+I18+I15+#REF!+I13+#REF!+#REF!+#REF!</f>
        <v>#REF!</v>
      </c>
      <c r="J66" s="57">
        <f>J61+J60+J57+J54+J51+J50+J47+J42+J39+J22+J18+J15+J13+J56+J58</f>
        <v>2043375.9999999998</v>
      </c>
      <c r="K66" s="177"/>
      <c r="L66" s="23">
        <f t="shared" si="7"/>
        <v>-1736924.7</v>
      </c>
      <c r="M66" s="179"/>
    </row>
    <row r="67" spans="1:12" s="18" customFormat="1" ht="40.5" customHeight="1">
      <c r="A67" s="64" t="s">
        <v>289</v>
      </c>
      <c r="B67" s="42" t="s">
        <v>290</v>
      </c>
      <c r="C67" s="26">
        <f aca="true" t="shared" si="8" ref="C67:C75">D67+E67+F67</f>
        <v>46445.6</v>
      </c>
      <c r="D67" s="41"/>
      <c r="E67" s="41"/>
      <c r="F67" s="26">
        <v>46445.6</v>
      </c>
      <c r="G67" s="41"/>
      <c r="H67" s="41"/>
      <c r="I67" s="41"/>
      <c r="J67" s="59">
        <f aca="true" t="shared" si="9" ref="J67:J82">C67+G67</f>
        <v>46445.6</v>
      </c>
      <c r="K67" s="177"/>
      <c r="L67" s="23">
        <f t="shared" si="7"/>
        <v>-46445.6</v>
      </c>
    </row>
    <row r="68" spans="1:12" ht="54" customHeight="1">
      <c r="A68" s="64" t="s">
        <v>102</v>
      </c>
      <c r="B68" s="68" t="s">
        <v>99</v>
      </c>
      <c r="C68" s="26">
        <f t="shared" si="8"/>
        <v>16467.9</v>
      </c>
      <c r="D68" s="41"/>
      <c r="E68" s="41"/>
      <c r="F68" s="26">
        <v>16467.9</v>
      </c>
      <c r="G68" s="41"/>
      <c r="H68" s="41"/>
      <c r="I68" s="41"/>
      <c r="J68" s="59">
        <f t="shared" si="9"/>
        <v>16467.9</v>
      </c>
      <c r="K68" s="174"/>
      <c r="L68" s="23">
        <f t="shared" si="7"/>
        <v>-16467.9</v>
      </c>
    </row>
    <row r="69" spans="1:12" ht="53.25" customHeight="1">
      <c r="A69" s="64" t="s">
        <v>4</v>
      </c>
      <c r="B69" s="68" t="s">
        <v>2</v>
      </c>
      <c r="C69" s="26">
        <f t="shared" si="8"/>
        <v>1319445.9</v>
      </c>
      <c r="D69" s="41"/>
      <c r="E69" s="41"/>
      <c r="F69" s="43">
        <v>1319445.9</v>
      </c>
      <c r="G69" s="41"/>
      <c r="H69" s="41"/>
      <c r="I69" s="41"/>
      <c r="J69" s="59">
        <f t="shared" si="9"/>
        <v>1319445.9</v>
      </c>
      <c r="K69" s="174"/>
      <c r="L69" s="23">
        <f t="shared" si="7"/>
        <v>-1319445.9</v>
      </c>
    </row>
    <row r="70" spans="1:12" ht="66" customHeight="1">
      <c r="A70" s="64" t="s">
        <v>62</v>
      </c>
      <c r="B70" s="144" t="s">
        <v>84</v>
      </c>
      <c r="C70" s="26">
        <f t="shared" si="8"/>
        <v>279217.8</v>
      </c>
      <c r="D70" s="167"/>
      <c r="E70" s="167"/>
      <c r="F70" s="138">
        <v>279217.8</v>
      </c>
      <c r="G70" s="43">
        <v>431291.4</v>
      </c>
      <c r="H70" s="167"/>
      <c r="I70" s="167"/>
      <c r="J70" s="168">
        <f t="shared" si="9"/>
        <v>710509.2</v>
      </c>
      <c r="K70" s="174"/>
      <c r="L70" s="23">
        <f t="shared" si="7"/>
        <v>-279217.8</v>
      </c>
    </row>
    <row r="71" spans="1:12" ht="115.5" customHeight="1">
      <c r="A71" s="116" t="s">
        <v>63</v>
      </c>
      <c r="B71" s="165" t="s">
        <v>282</v>
      </c>
      <c r="C71" s="26">
        <f t="shared" si="8"/>
        <v>147643.8</v>
      </c>
      <c r="D71" s="41"/>
      <c r="E71" s="41"/>
      <c r="F71" s="43">
        <v>147643.8</v>
      </c>
      <c r="G71" s="41"/>
      <c r="H71" s="41"/>
      <c r="I71" s="41"/>
      <c r="J71" s="59">
        <f t="shared" si="9"/>
        <v>147643.8</v>
      </c>
      <c r="K71" s="174"/>
      <c r="L71" s="23">
        <f t="shared" si="7"/>
        <v>-147643.8</v>
      </c>
    </row>
    <row r="72" spans="1:12" s="18" customFormat="1" ht="51.75" customHeight="1">
      <c r="A72" s="114" t="s">
        <v>64</v>
      </c>
      <c r="B72" s="65" t="s">
        <v>325</v>
      </c>
      <c r="C72" s="26">
        <f t="shared" si="8"/>
        <v>31741.9</v>
      </c>
      <c r="D72" s="113"/>
      <c r="E72" s="113"/>
      <c r="F72" s="138">
        <v>31741.9</v>
      </c>
      <c r="G72" s="113"/>
      <c r="H72" s="113"/>
      <c r="I72" s="113"/>
      <c r="J72" s="115">
        <f t="shared" si="9"/>
        <v>31741.9</v>
      </c>
      <c r="K72" s="177"/>
      <c r="L72" s="23">
        <f t="shared" si="7"/>
        <v>-31741.9</v>
      </c>
    </row>
    <row r="73" spans="1:12" s="18" customFormat="1" ht="80.25" customHeight="1">
      <c r="A73" s="64" t="s">
        <v>229</v>
      </c>
      <c r="B73" s="45" t="s">
        <v>315</v>
      </c>
      <c r="C73" s="113">
        <f t="shared" si="8"/>
        <v>28237.4</v>
      </c>
      <c r="D73" s="26"/>
      <c r="E73" s="26"/>
      <c r="F73" s="26">
        <v>28237.4</v>
      </c>
      <c r="G73" s="26"/>
      <c r="H73" s="26"/>
      <c r="I73" s="26"/>
      <c r="J73" s="115">
        <f t="shared" si="9"/>
        <v>28237.4</v>
      </c>
      <c r="K73" s="175"/>
      <c r="L73" s="23">
        <f t="shared" si="7"/>
        <v>-28237.4</v>
      </c>
    </row>
    <row r="74" spans="1:12" s="18" customFormat="1" ht="39.75" customHeight="1">
      <c r="A74" s="343" t="s">
        <v>61</v>
      </c>
      <c r="B74" s="65" t="s">
        <v>115</v>
      </c>
      <c r="C74" s="113">
        <f t="shared" si="8"/>
        <v>257.5</v>
      </c>
      <c r="D74" s="26"/>
      <c r="E74" s="26"/>
      <c r="F74" s="26">
        <f>SUM(F75:F77)</f>
        <v>257.5</v>
      </c>
      <c r="G74" s="26">
        <f>SUM(G75:G77)</f>
        <v>2862.6</v>
      </c>
      <c r="H74" s="26"/>
      <c r="I74" s="26"/>
      <c r="J74" s="115">
        <f t="shared" si="9"/>
        <v>3120.1</v>
      </c>
      <c r="K74" s="177"/>
      <c r="L74" s="23">
        <f t="shared" si="7"/>
        <v>-257.5</v>
      </c>
    </row>
    <row r="75" spans="1:12" s="18" customFormat="1" ht="14.25" customHeight="1">
      <c r="A75" s="344"/>
      <c r="B75" s="65" t="s">
        <v>283</v>
      </c>
      <c r="C75" s="113">
        <f t="shared" si="8"/>
        <v>257.5</v>
      </c>
      <c r="D75" s="26"/>
      <c r="E75" s="26"/>
      <c r="F75" s="26">
        <v>257.5</v>
      </c>
      <c r="G75" s="26"/>
      <c r="H75" s="26"/>
      <c r="I75" s="26"/>
      <c r="J75" s="115">
        <f t="shared" si="9"/>
        <v>257.5</v>
      </c>
      <c r="K75" s="175"/>
      <c r="L75" s="23">
        <f t="shared" si="7"/>
        <v>-257.5</v>
      </c>
    </row>
    <row r="76" spans="1:12" s="18" customFormat="1" ht="15.75" customHeight="1">
      <c r="A76" s="344"/>
      <c r="B76" s="65" t="s">
        <v>316</v>
      </c>
      <c r="C76" s="113">
        <f>D76+E76+F76</f>
        <v>0</v>
      </c>
      <c r="D76" s="26"/>
      <c r="E76" s="26"/>
      <c r="F76" s="26"/>
      <c r="G76" s="26">
        <v>1000</v>
      </c>
      <c r="H76" s="26"/>
      <c r="I76" s="26"/>
      <c r="J76" s="115">
        <f t="shared" si="9"/>
        <v>1000</v>
      </c>
      <c r="K76" s="175"/>
      <c r="L76" s="23">
        <f t="shared" si="7"/>
        <v>0</v>
      </c>
    </row>
    <row r="77" spans="1:12" s="18" customFormat="1" ht="25.5">
      <c r="A77" s="344"/>
      <c r="B77" s="65" t="s">
        <v>302</v>
      </c>
      <c r="C77" s="113"/>
      <c r="D77" s="26"/>
      <c r="E77" s="26"/>
      <c r="F77" s="26"/>
      <c r="G77" s="26">
        <v>1862.6</v>
      </c>
      <c r="H77" s="26"/>
      <c r="I77" s="26"/>
      <c r="J77" s="115">
        <f t="shared" si="9"/>
        <v>1862.6</v>
      </c>
      <c r="K77" s="175"/>
      <c r="L77" s="23"/>
    </row>
    <row r="78" spans="1:12" s="18" customFormat="1" ht="90" customHeight="1">
      <c r="A78" s="64" t="s">
        <v>292</v>
      </c>
      <c r="B78" s="65" t="s">
        <v>277</v>
      </c>
      <c r="C78" s="26">
        <f>D78+E78+F78</f>
        <v>8611.6</v>
      </c>
      <c r="D78" s="26"/>
      <c r="E78" s="26"/>
      <c r="F78" s="26">
        <v>8611.6</v>
      </c>
      <c r="G78" s="26"/>
      <c r="H78" s="26"/>
      <c r="I78" s="26"/>
      <c r="J78" s="59">
        <f t="shared" si="9"/>
        <v>8611.6</v>
      </c>
      <c r="K78" s="175"/>
      <c r="L78" s="23">
        <f>K78-C78</f>
        <v>-8611.6</v>
      </c>
    </row>
    <row r="79" spans="1:12" s="18" customFormat="1" ht="12.75">
      <c r="A79" s="64" t="s">
        <v>65</v>
      </c>
      <c r="B79" s="65" t="s">
        <v>36</v>
      </c>
      <c r="C79" s="26">
        <f>D79+E79+F79</f>
        <v>10000</v>
      </c>
      <c r="D79" s="26"/>
      <c r="E79" s="26"/>
      <c r="F79" s="26">
        <v>10000</v>
      </c>
      <c r="G79" s="26"/>
      <c r="H79" s="26"/>
      <c r="I79" s="26"/>
      <c r="J79" s="59">
        <f t="shared" si="9"/>
        <v>10000</v>
      </c>
      <c r="K79" s="180"/>
      <c r="L79" s="23">
        <f>K79-C79</f>
        <v>-10000</v>
      </c>
    </row>
    <row r="80" spans="1:12" s="18" customFormat="1" ht="55.5" customHeight="1">
      <c r="A80" s="64" t="s">
        <v>230</v>
      </c>
      <c r="B80" s="65" t="s">
        <v>72</v>
      </c>
      <c r="C80" s="26">
        <f>D80+E80+F80</f>
        <v>300</v>
      </c>
      <c r="D80" s="26"/>
      <c r="E80" s="26"/>
      <c r="F80" s="147">
        <v>300</v>
      </c>
      <c r="G80" s="26"/>
      <c r="H80" s="26"/>
      <c r="I80" s="26"/>
      <c r="J80" s="59">
        <f t="shared" si="9"/>
        <v>300</v>
      </c>
      <c r="K80" s="175"/>
      <c r="L80" s="23">
        <f>K80-C80</f>
        <v>-300</v>
      </c>
    </row>
    <row r="81" spans="1:12" s="18" customFormat="1" ht="128.25" customHeight="1">
      <c r="A81" s="64" t="s">
        <v>320</v>
      </c>
      <c r="B81" s="65" t="s">
        <v>326</v>
      </c>
      <c r="C81" s="26"/>
      <c r="D81" s="26"/>
      <c r="E81" s="26"/>
      <c r="F81" s="26"/>
      <c r="G81" s="26">
        <v>47709</v>
      </c>
      <c r="H81" s="26"/>
      <c r="I81" s="26"/>
      <c r="J81" s="59">
        <f t="shared" si="9"/>
        <v>47709</v>
      </c>
      <c r="K81" s="175"/>
      <c r="L81" s="23"/>
    </row>
    <row r="82" spans="1:58" ht="106.5" customHeight="1">
      <c r="A82" s="291" t="s">
        <v>293</v>
      </c>
      <c r="B82" s="292" t="s">
        <v>327</v>
      </c>
      <c r="C82" s="113">
        <f>D82+E82+F82</f>
        <v>0</v>
      </c>
      <c r="D82" s="113"/>
      <c r="E82" s="113"/>
      <c r="F82" s="113"/>
      <c r="G82" s="113">
        <v>7721.8</v>
      </c>
      <c r="H82" s="113"/>
      <c r="I82" s="113"/>
      <c r="J82" s="117">
        <f t="shared" si="9"/>
        <v>7721.8</v>
      </c>
      <c r="K82" s="176"/>
      <c r="L82" s="181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12" s="18" customFormat="1" ht="18.75" customHeight="1" thickBot="1">
      <c r="A83" s="330" t="s">
        <v>258</v>
      </c>
      <c r="B83" s="331"/>
      <c r="C83" s="70">
        <f>C66+C67+C68+C69+C70+C71+C72+C73+C78+C79+C80+C82+C74</f>
        <v>3625294.099999999</v>
      </c>
      <c r="D83" s="70">
        <f>D66+D67+D68+D69+D70+D71+D72+D73+D78+D79+D80+D82</f>
        <v>595245.9</v>
      </c>
      <c r="E83" s="70">
        <f>E66+E67+E68+E69+E70+E71+E72+E73+E78+E79+E80+E82</f>
        <v>157188.59999999998</v>
      </c>
      <c r="F83" s="70">
        <f>F66+F67+F68+F69+F70+F71+F72+F73+F78+F79+F80+F82+F74</f>
        <v>2872859.599999999</v>
      </c>
      <c r="G83" s="70">
        <f>G66+G67+G68+G69+G70+G71+G72+G73+G78+G79+G80+G82+G74+G81</f>
        <v>796036.1</v>
      </c>
      <c r="H83" s="70">
        <f>H66+H67+H68+H69+H70+H71+H72+H73+H78+H79+H80+H82</f>
        <v>49728.6</v>
      </c>
      <c r="I83" s="70" t="e">
        <f>I66+I67+#REF!+I68+I69+I70+I71+I72+I73+I78+I79+I80+I82</f>
        <v>#REF!</v>
      </c>
      <c r="J83" s="70">
        <f>J66+J67+J68+J69+J70+J71+J72+J73+J78+J79+J80+J82+J74+J81</f>
        <v>4421330.199999999</v>
      </c>
      <c r="K83" s="177"/>
      <c r="L83" s="182"/>
    </row>
    <row r="84" spans="2:12" ht="12.75">
      <c r="B84" s="48" t="s">
        <v>81</v>
      </c>
      <c r="C84" s="183">
        <f>'№1'!C56</f>
        <v>3625294.0999999996</v>
      </c>
      <c r="D84" s="183"/>
      <c r="E84" s="183"/>
      <c r="F84" s="183"/>
      <c r="G84" s="183">
        <f>'№1'!D56</f>
        <v>796036.1</v>
      </c>
      <c r="H84" s="101">
        <f>'№1'!E56</f>
        <v>49728.600000000006</v>
      </c>
      <c r="I84" s="183"/>
      <c r="J84" s="183">
        <f>'№1'!F56</f>
        <v>4421330.199999999</v>
      </c>
      <c r="K84" s="184"/>
      <c r="L84" s="185"/>
    </row>
    <row r="85" spans="2:12" ht="12.75">
      <c r="B85" s="48" t="s">
        <v>82</v>
      </c>
      <c r="C85" s="186">
        <f>C84-C83</f>
        <v>0</v>
      </c>
      <c r="D85" s="186"/>
      <c r="E85" s="186"/>
      <c r="F85" s="186"/>
      <c r="G85" s="186">
        <f>G84-G83</f>
        <v>0</v>
      </c>
      <c r="H85" s="186">
        <f>H84-H83</f>
        <v>0</v>
      </c>
      <c r="I85" s="186"/>
      <c r="J85" s="186">
        <f>J84-J83</f>
        <v>0</v>
      </c>
      <c r="K85" s="21"/>
      <c r="L85" s="69"/>
    </row>
    <row r="86" spans="2:12" ht="12.75">
      <c r="B86" s="48"/>
      <c r="C86" s="21"/>
      <c r="D86" s="21"/>
      <c r="E86" s="21"/>
      <c r="F86" s="21"/>
      <c r="G86" s="21"/>
      <c r="H86" s="21"/>
      <c r="I86" s="21"/>
      <c r="J86" s="69"/>
      <c r="K86" s="21"/>
      <c r="L86" s="69"/>
    </row>
    <row r="87" spans="2:8" ht="12.75">
      <c r="B87" s="48"/>
      <c r="C87" s="28"/>
      <c r="G87" s="28"/>
      <c r="H87" s="28"/>
    </row>
    <row r="88" spans="2:10" ht="12.75">
      <c r="B88" s="48"/>
      <c r="C88" s="28"/>
      <c r="D88" s="28"/>
      <c r="E88" s="28"/>
      <c r="F88" s="28"/>
      <c r="G88" s="28"/>
      <c r="H88" s="28"/>
      <c r="J88" s="28"/>
    </row>
    <row r="89" spans="2:10" ht="12.75">
      <c r="B89" s="48"/>
      <c r="C89" s="28"/>
      <c r="D89" s="28"/>
      <c r="E89" s="28"/>
      <c r="F89" s="28"/>
      <c r="G89" s="28"/>
      <c r="J89" s="28"/>
    </row>
    <row r="90" spans="2:11" ht="12.75">
      <c r="B90" s="48"/>
      <c r="C90" s="29"/>
      <c r="K90" s="28"/>
    </row>
    <row r="91" spans="2:10" ht="12.75">
      <c r="B91" s="48"/>
      <c r="C91" s="28"/>
      <c r="J91" s="28"/>
    </row>
    <row r="92" spans="2:10" ht="12.75">
      <c r="B92" s="48"/>
      <c r="C92" s="28"/>
      <c r="J92" s="28"/>
    </row>
    <row r="93" spans="2:7" ht="12.75">
      <c r="B93" s="48"/>
      <c r="G93" s="28"/>
    </row>
    <row r="94" spans="2:7" ht="12.75">
      <c r="B94" s="48"/>
      <c r="G94" s="28"/>
    </row>
    <row r="95" ht="12.75">
      <c r="B95" s="48"/>
    </row>
    <row r="96" spans="2:7" ht="12.75">
      <c r="B96" s="48"/>
      <c r="G96" s="28"/>
    </row>
    <row r="97" spans="2:7" ht="12.75">
      <c r="B97" s="48"/>
      <c r="C97" s="28"/>
      <c r="G97" s="2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 t="s">
        <v>115</v>
      </c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</sheetData>
  <mergeCells count="16">
    <mergeCell ref="I10:I11"/>
    <mergeCell ref="A74:A77"/>
    <mergeCell ref="A6:J6"/>
    <mergeCell ref="F1:H1"/>
    <mergeCell ref="F2:H2"/>
    <mergeCell ref="F3:H3"/>
    <mergeCell ref="A83:B83"/>
    <mergeCell ref="A7:J7"/>
    <mergeCell ref="A9:A11"/>
    <mergeCell ref="B9:B11"/>
    <mergeCell ref="C9:F9"/>
    <mergeCell ref="G9:I9"/>
    <mergeCell ref="J9:J11"/>
    <mergeCell ref="C10:C11"/>
    <mergeCell ref="D10:F10"/>
    <mergeCell ref="G10:G11"/>
  </mergeCells>
  <printOptions/>
  <pageMargins left="0.984251968503937" right="0.5905511811023623" top="0.7874015748031497" bottom="0.7874015748031497" header="0" footer="0"/>
  <pageSetup horizontalDpi="600" verticalDpi="600" orientation="portrait" paperSize="9" scale="6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41"/>
  <sheetViews>
    <sheetView view="pageBreakPreview" zoomScaleNormal="75" zoomScaleSheetLayoutView="100" workbookViewId="0" topLeftCell="B4">
      <selection activeCell="F6" sqref="F6:H6"/>
    </sheetView>
  </sheetViews>
  <sheetFormatPr defaultColWidth="9.00390625" defaultRowHeight="12.75"/>
  <cols>
    <col min="1" max="1" width="8.25390625" style="54" customWidth="1"/>
    <col min="2" max="2" width="54.875" style="30" customWidth="1"/>
    <col min="3" max="3" width="14.25390625" style="3" customWidth="1"/>
    <col min="4" max="4" width="10.375" style="3" customWidth="1"/>
    <col min="5" max="5" width="10.125" style="3" customWidth="1"/>
    <col min="6" max="6" width="11.875" style="3" customWidth="1"/>
    <col min="7" max="7" width="10.00390625" style="3" customWidth="1"/>
    <col min="8" max="8" width="10.375" style="3" customWidth="1"/>
    <col min="9" max="9" width="7.00390625" style="3" hidden="1" customWidth="1"/>
    <col min="10" max="10" width="12.375" style="3" customWidth="1"/>
    <col min="11" max="11" width="13.125" style="31" customWidth="1"/>
    <col min="12" max="12" width="14.625" style="31" customWidth="1"/>
    <col min="13" max="13" width="10.375" style="31" bestFit="1" customWidth="1"/>
    <col min="14" max="58" width="8.875" style="31" customWidth="1"/>
    <col min="59" max="16384" width="8.875" style="3" customWidth="1"/>
  </cols>
  <sheetData>
    <row r="1" spans="6:10" ht="13.5" customHeight="1" hidden="1">
      <c r="F1" s="347"/>
      <c r="G1" s="347"/>
      <c r="H1" s="347"/>
      <c r="I1" s="347"/>
      <c r="J1" s="347"/>
    </row>
    <row r="2" spans="6:10" ht="13.5" customHeight="1" hidden="1">
      <c r="F2" s="5"/>
      <c r="G2" s="5"/>
      <c r="H2" s="5"/>
      <c r="I2" s="5"/>
      <c r="J2" s="5"/>
    </row>
    <row r="3" spans="6:10" ht="13.5" customHeight="1" hidden="1">
      <c r="F3" s="4" t="s">
        <v>259</v>
      </c>
      <c r="G3" s="4"/>
      <c r="H3" s="4"/>
      <c r="I3" s="4"/>
      <c r="J3" s="4"/>
    </row>
    <row r="4" spans="5:9" ht="15.75">
      <c r="E4" s="32" t="s">
        <v>260</v>
      </c>
      <c r="F4" s="304" t="s">
        <v>261</v>
      </c>
      <c r="G4" s="9"/>
      <c r="H4" s="9"/>
      <c r="I4" s="9"/>
    </row>
    <row r="5" spans="6:9" ht="15.75">
      <c r="F5" s="305" t="s">
        <v>203</v>
      </c>
      <c r="G5" s="5"/>
      <c r="H5" s="5"/>
      <c r="I5" s="5"/>
    </row>
    <row r="6" spans="6:9" ht="12.75">
      <c r="F6" s="396" t="s">
        <v>358</v>
      </c>
      <c r="G6" s="396"/>
      <c r="H6" s="396"/>
      <c r="I6" s="191"/>
    </row>
    <row r="7" ht="13.5" customHeight="1"/>
    <row r="8" spans="1:10" ht="15.75">
      <c r="A8" s="332" t="s">
        <v>322</v>
      </c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5" customHeight="1">
      <c r="A9" s="332" t="s">
        <v>295</v>
      </c>
      <c r="B9" s="332"/>
      <c r="C9" s="332"/>
      <c r="D9" s="332"/>
      <c r="E9" s="332"/>
      <c r="F9" s="332"/>
      <c r="G9" s="332"/>
      <c r="H9" s="332"/>
      <c r="I9" s="332"/>
      <c r="J9" s="332"/>
    </row>
    <row r="10" spans="7:10" ht="13.5" thickBot="1">
      <c r="G10" s="348" t="s">
        <v>37</v>
      </c>
      <c r="H10" s="348"/>
      <c r="I10" s="348"/>
      <c r="J10" s="348"/>
    </row>
    <row r="11" spans="1:17" ht="24.75" customHeight="1" thickBot="1">
      <c r="A11" s="333" t="s">
        <v>205</v>
      </c>
      <c r="B11" s="354" t="s">
        <v>262</v>
      </c>
      <c r="C11" s="352" t="s">
        <v>207</v>
      </c>
      <c r="D11" s="339"/>
      <c r="E11" s="353"/>
      <c r="F11" s="353"/>
      <c r="G11" s="340" t="s">
        <v>208</v>
      </c>
      <c r="H11" s="341"/>
      <c r="I11" s="311"/>
      <c r="J11" s="310" t="s">
        <v>209</v>
      </c>
      <c r="Q11" s="3"/>
    </row>
    <row r="12" spans="1:10" ht="40.5" customHeight="1" thickBot="1">
      <c r="A12" s="334"/>
      <c r="B12" s="355"/>
      <c r="C12" s="350" t="s">
        <v>210</v>
      </c>
      <c r="D12" s="352" t="s">
        <v>211</v>
      </c>
      <c r="E12" s="353"/>
      <c r="F12" s="353"/>
      <c r="G12" s="350" t="s">
        <v>210</v>
      </c>
      <c r="H12" s="13" t="s">
        <v>212</v>
      </c>
      <c r="I12" s="310" t="s">
        <v>213</v>
      </c>
      <c r="J12" s="349"/>
    </row>
    <row r="13" spans="1:10" ht="96" customHeight="1" thickBot="1">
      <c r="A13" s="335"/>
      <c r="B13" s="356"/>
      <c r="C13" s="351"/>
      <c r="D13" s="13" t="s">
        <v>214</v>
      </c>
      <c r="E13" s="13" t="s">
        <v>215</v>
      </c>
      <c r="F13" s="13" t="s">
        <v>216</v>
      </c>
      <c r="G13" s="351"/>
      <c r="H13" s="13" t="s">
        <v>217</v>
      </c>
      <c r="I13" s="342"/>
      <c r="J13" s="342"/>
    </row>
    <row r="14" spans="1:10" ht="13.5" thickBot="1">
      <c r="A14" s="71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10</v>
      </c>
      <c r="J14" s="73">
        <v>9</v>
      </c>
    </row>
    <row r="15" spans="1:58" s="34" customFormat="1" ht="12.75">
      <c r="A15" s="74"/>
      <c r="B15" s="75" t="s">
        <v>264</v>
      </c>
      <c r="C15" s="76">
        <f>D15+E15+F15</f>
        <v>21118.9</v>
      </c>
      <c r="D15" s="76">
        <f>D16+D17+D18+D23</f>
        <v>3268.9</v>
      </c>
      <c r="E15" s="76">
        <f>E16+E17+E18+E23</f>
        <v>2947.8</v>
      </c>
      <c r="F15" s="76">
        <f>F16+F17+F18+F23+F22+F21</f>
        <v>14902.2</v>
      </c>
      <c r="G15" s="76">
        <f>G16+G17+G18+G23+G19</f>
        <v>3203.4</v>
      </c>
      <c r="H15" s="76">
        <f>H16+H17+H18+H23</f>
        <v>0</v>
      </c>
      <c r="I15" s="76" t="e">
        <f>I16+I17+I18+#REF!+#REF!+#REF!+#REF!+#REF!+#REF!+I23+#REF!</f>
        <v>#REF!</v>
      </c>
      <c r="J15" s="81">
        <f aca="true" t="shared" si="0" ref="J15:J23">C15+G15</f>
        <v>24322.300000000003</v>
      </c>
      <c r="K15" s="187"/>
      <c r="L15" s="187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ht="12.75">
      <c r="A16" s="58" t="s">
        <v>220</v>
      </c>
      <c r="B16" s="36" t="s">
        <v>221</v>
      </c>
      <c r="C16" s="26">
        <f>D16+E16+F16</f>
        <v>17078.9</v>
      </c>
      <c r="D16" s="21">
        <v>3268.9</v>
      </c>
      <c r="E16" s="21">
        <v>2947.8</v>
      </c>
      <c r="F16" s="21">
        <v>10862.2</v>
      </c>
      <c r="G16" s="26">
        <v>150</v>
      </c>
      <c r="H16" s="21"/>
      <c r="I16" s="21"/>
      <c r="J16" s="67">
        <f t="shared" si="0"/>
        <v>17228.9</v>
      </c>
      <c r="K16" s="83"/>
      <c r="L16" s="27"/>
      <c r="M16" s="8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21" customHeight="1">
      <c r="A17" s="58" t="s">
        <v>265</v>
      </c>
      <c r="B17" s="36" t="s">
        <v>73</v>
      </c>
      <c r="C17" s="26">
        <f aca="true" t="shared" si="1" ref="C17:C23">D17+E17+F17</f>
        <v>45</v>
      </c>
      <c r="D17" s="21"/>
      <c r="E17" s="21"/>
      <c r="F17" s="21">
        <v>45</v>
      </c>
      <c r="G17" s="26">
        <f>H17</f>
        <v>0</v>
      </c>
      <c r="H17" s="21"/>
      <c r="I17" s="21"/>
      <c r="J17" s="67">
        <f t="shared" si="0"/>
        <v>45</v>
      </c>
      <c r="K17" s="125"/>
      <c r="L17" s="127"/>
      <c r="M17" s="125"/>
      <c r="N17" s="78"/>
      <c r="O17" s="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8" customHeight="1">
      <c r="A18" s="58" t="s">
        <v>235</v>
      </c>
      <c r="B18" s="20" t="s">
        <v>236</v>
      </c>
      <c r="C18" s="26">
        <f t="shared" si="1"/>
        <v>36</v>
      </c>
      <c r="D18" s="21"/>
      <c r="E18" s="21"/>
      <c r="F18" s="21">
        <v>36</v>
      </c>
      <c r="G18" s="26">
        <f>H18</f>
        <v>0</v>
      </c>
      <c r="H18" s="21"/>
      <c r="I18" s="21"/>
      <c r="J18" s="67">
        <f t="shared" si="0"/>
        <v>36</v>
      </c>
      <c r="K18" s="125"/>
      <c r="L18" s="79"/>
      <c r="M18" s="79"/>
      <c r="N18" s="79"/>
      <c r="O18" s="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8" customHeight="1">
      <c r="A19" s="58" t="s">
        <v>347</v>
      </c>
      <c r="B19" s="17" t="s">
        <v>338</v>
      </c>
      <c r="C19" s="26">
        <f t="shared" si="1"/>
        <v>0</v>
      </c>
      <c r="D19" s="21"/>
      <c r="E19" s="21"/>
      <c r="F19" s="21"/>
      <c r="G19" s="26">
        <v>3053.4</v>
      </c>
      <c r="H19" s="21"/>
      <c r="I19" s="21"/>
      <c r="J19" s="67">
        <f t="shared" si="0"/>
        <v>3053.4</v>
      </c>
      <c r="K19" s="125"/>
      <c r="L19" s="79"/>
      <c r="M19" s="79"/>
      <c r="N19" s="79"/>
      <c r="O19" s="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24" customHeight="1">
      <c r="A20" s="58"/>
      <c r="B20" s="17" t="s">
        <v>337</v>
      </c>
      <c r="C20" s="26">
        <f t="shared" si="1"/>
        <v>0</v>
      </c>
      <c r="D20" s="21"/>
      <c r="E20" s="21"/>
      <c r="F20" s="21"/>
      <c r="G20" s="26">
        <v>3053.4</v>
      </c>
      <c r="H20" s="21"/>
      <c r="I20" s="21"/>
      <c r="J20" s="67">
        <f t="shared" si="0"/>
        <v>3053.4</v>
      </c>
      <c r="K20" s="125"/>
      <c r="L20" s="79"/>
      <c r="M20" s="79"/>
      <c r="N20" s="79"/>
      <c r="O20" s="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2.75" customHeight="1">
      <c r="A21" s="58" t="s">
        <v>348</v>
      </c>
      <c r="B21" s="17" t="s">
        <v>349</v>
      </c>
      <c r="C21" s="26">
        <f t="shared" si="1"/>
        <v>2196</v>
      </c>
      <c r="D21" s="21"/>
      <c r="E21" s="21"/>
      <c r="F21" s="21">
        <v>2196</v>
      </c>
      <c r="G21" s="26"/>
      <c r="H21" s="21"/>
      <c r="I21" s="21"/>
      <c r="J21" s="67">
        <f t="shared" si="0"/>
        <v>2196</v>
      </c>
      <c r="K21" s="125"/>
      <c r="L21" s="79"/>
      <c r="M21" s="79"/>
      <c r="N21" s="79"/>
      <c r="O21" s="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24.75" customHeight="1">
      <c r="A22" s="64" t="s">
        <v>96</v>
      </c>
      <c r="B22" s="20" t="s">
        <v>248</v>
      </c>
      <c r="C22" s="26">
        <f t="shared" si="1"/>
        <v>1071.8</v>
      </c>
      <c r="D22" s="26"/>
      <c r="E22" s="26"/>
      <c r="F22" s="26">
        <v>1071.8</v>
      </c>
      <c r="G22" s="26"/>
      <c r="H22" s="26"/>
      <c r="I22" s="26"/>
      <c r="J22" s="59">
        <f t="shared" si="0"/>
        <v>1071.8</v>
      </c>
      <c r="K22" s="156"/>
      <c r="L22" s="1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2.75">
      <c r="A23" s="58" t="s">
        <v>97</v>
      </c>
      <c r="B23" s="36" t="s">
        <v>266</v>
      </c>
      <c r="C23" s="26">
        <f t="shared" si="1"/>
        <v>691.2</v>
      </c>
      <c r="D23" s="21"/>
      <c r="E23" s="21"/>
      <c r="F23" s="21">
        <v>691.2</v>
      </c>
      <c r="G23" s="21">
        <f>H23</f>
        <v>0</v>
      </c>
      <c r="H23" s="21"/>
      <c r="I23" s="21"/>
      <c r="J23" s="67">
        <f t="shared" si="0"/>
        <v>691.2</v>
      </c>
      <c r="K23" s="83"/>
      <c r="L23" s="27"/>
      <c r="M23" s="8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11" s="18" customFormat="1" ht="22.5" customHeight="1">
      <c r="A24" s="56"/>
      <c r="B24" s="49" t="s">
        <v>8</v>
      </c>
      <c r="C24" s="137">
        <f>D24+E24+F24</f>
        <v>354579.9</v>
      </c>
      <c r="D24" s="41">
        <f aca="true" t="shared" si="2" ref="D24:J24">D25+D27+D28</f>
        <v>129086.5</v>
      </c>
      <c r="E24" s="41">
        <f t="shared" si="2"/>
        <v>40637.600000000006</v>
      </c>
      <c r="F24" s="41">
        <f t="shared" si="2"/>
        <v>184855.80000000002</v>
      </c>
      <c r="G24" s="41">
        <f t="shared" si="2"/>
        <v>2596.4</v>
      </c>
      <c r="H24" s="41">
        <f t="shared" si="2"/>
        <v>0</v>
      </c>
      <c r="I24" s="41">
        <f t="shared" si="2"/>
        <v>0</v>
      </c>
      <c r="J24" s="57">
        <f t="shared" si="2"/>
        <v>357176.30000000005</v>
      </c>
      <c r="K24" s="24"/>
    </row>
    <row r="25" spans="1:58" ht="31.5" customHeight="1">
      <c r="A25" s="58" t="s">
        <v>225</v>
      </c>
      <c r="B25" s="20" t="s">
        <v>90</v>
      </c>
      <c r="C25" s="26">
        <f>D25+E25+F25</f>
        <v>353226</v>
      </c>
      <c r="D25" s="26">
        <v>128393.6</v>
      </c>
      <c r="E25" s="26">
        <v>40630.3</v>
      </c>
      <c r="F25" s="26">
        <v>184202.1</v>
      </c>
      <c r="G25" s="21">
        <v>2596.4</v>
      </c>
      <c r="H25" s="21"/>
      <c r="I25" s="21"/>
      <c r="J25" s="67">
        <f>C25+G25</f>
        <v>355822.4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65.25" customHeight="1">
      <c r="A26" s="58" t="s">
        <v>197</v>
      </c>
      <c r="B26" s="20" t="s">
        <v>196</v>
      </c>
      <c r="C26" s="26">
        <f>D26+E26+F26</f>
        <v>1088.1</v>
      </c>
      <c r="D26" s="21"/>
      <c r="E26" s="21"/>
      <c r="F26" s="21">
        <v>1088.1</v>
      </c>
      <c r="G26" s="21"/>
      <c r="H26" s="21"/>
      <c r="I26" s="21"/>
      <c r="J26" s="67">
        <f>C26+G26</f>
        <v>1088.1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25.5" customHeight="1">
      <c r="A27" s="58" t="s">
        <v>188</v>
      </c>
      <c r="B27" s="36" t="s">
        <v>267</v>
      </c>
      <c r="C27" s="26">
        <f aca="true" t="shared" si="3" ref="C27:C40">D27+E27+F27</f>
        <v>1096.3999999999999</v>
      </c>
      <c r="D27" s="21">
        <v>692.9</v>
      </c>
      <c r="E27" s="21">
        <v>7.3</v>
      </c>
      <c r="F27" s="21">
        <v>396.2</v>
      </c>
      <c r="G27" s="21"/>
      <c r="H27" s="21"/>
      <c r="I27" s="21"/>
      <c r="J27" s="67">
        <f>C27+G27</f>
        <v>1096.3999999999999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38.25">
      <c r="A28" s="64" t="s">
        <v>61</v>
      </c>
      <c r="B28" s="20" t="s">
        <v>296</v>
      </c>
      <c r="C28" s="26">
        <f t="shared" si="3"/>
        <v>257.5</v>
      </c>
      <c r="D28" s="21"/>
      <c r="E28" s="21"/>
      <c r="F28" s="21">
        <f>F29</f>
        <v>257.5</v>
      </c>
      <c r="G28" s="21"/>
      <c r="H28" s="21"/>
      <c r="I28" s="21"/>
      <c r="J28" s="67">
        <f>C28+G28</f>
        <v>257.5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8.75" customHeight="1">
      <c r="A29" s="64"/>
      <c r="B29" s="20" t="s">
        <v>201</v>
      </c>
      <c r="C29" s="26">
        <f t="shared" si="3"/>
        <v>257.5</v>
      </c>
      <c r="D29" s="21"/>
      <c r="E29" s="21"/>
      <c r="F29" s="21">
        <v>257.5</v>
      </c>
      <c r="G29" s="21"/>
      <c r="H29" s="21"/>
      <c r="I29" s="21"/>
      <c r="J29" s="67">
        <f>C29+G29</f>
        <v>257.5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s="18" customFormat="1" ht="12.75">
      <c r="A30" s="56"/>
      <c r="B30" s="50" t="s">
        <v>7</v>
      </c>
      <c r="C30" s="41">
        <f t="shared" si="3"/>
        <v>848111.3</v>
      </c>
      <c r="D30" s="41">
        <f aca="true" t="shared" si="4" ref="D30:J30">D31+D34+D36</f>
        <v>362472.3</v>
      </c>
      <c r="E30" s="41">
        <f t="shared" si="4"/>
        <v>81893.90000000001</v>
      </c>
      <c r="F30" s="41">
        <f t="shared" si="4"/>
        <v>403745.1</v>
      </c>
      <c r="G30" s="41">
        <f t="shared" si="4"/>
        <v>31971.4</v>
      </c>
      <c r="H30" s="41">
        <f t="shared" si="4"/>
        <v>0</v>
      </c>
      <c r="I30" s="41">
        <f t="shared" si="4"/>
        <v>0</v>
      </c>
      <c r="J30" s="41">
        <f t="shared" si="4"/>
        <v>880082.7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ht="40.5" customHeight="1">
      <c r="A31" s="58" t="s">
        <v>227</v>
      </c>
      <c r="B31" s="36" t="s">
        <v>79</v>
      </c>
      <c r="C31" s="26">
        <f t="shared" si="3"/>
        <v>811623.7</v>
      </c>
      <c r="D31" s="21">
        <v>349104.3</v>
      </c>
      <c r="E31" s="21">
        <v>78198.6</v>
      </c>
      <c r="F31" s="21">
        <v>384320.8</v>
      </c>
      <c r="G31" s="21">
        <v>25373.4</v>
      </c>
      <c r="H31" s="21"/>
      <c r="I31" s="21"/>
      <c r="J31" s="67">
        <f aca="true" t="shared" si="5" ref="J31:J79">C31+G31</f>
        <v>836997.1</v>
      </c>
      <c r="K31" s="83"/>
      <c r="L31" s="126"/>
      <c r="M31" s="8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26.25" customHeight="1">
      <c r="A32" s="58" t="s">
        <v>272</v>
      </c>
      <c r="B32" s="36" t="s">
        <v>273</v>
      </c>
      <c r="C32" s="26">
        <f t="shared" si="3"/>
        <v>22964.1</v>
      </c>
      <c r="D32" s="21"/>
      <c r="E32" s="21"/>
      <c r="F32" s="3">
        <v>22964.1</v>
      </c>
      <c r="G32" s="21"/>
      <c r="H32" s="21"/>
      <c r="I32" s="21"/>
      <c r="J32" s="67">
        <f t="shared" si="5"/>
        <v>22964.1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63.75">
      <c r="A33" s="58" t="s">
        <v>278</v>
      </c>
      <c r="B33" s="20" t="s">
        <v>196</v>
      </c>
      <c r="C33" s="26">
        <f t="shared" si="3"/>
        <v>44.4</v>
      </c>
      <c r="D33" s="21"/>
      <c r="E33" s="21"/>
      <c r="F33" s="21">
        <v>44.4</v>
      </c>
      <c r="G33" s="21"/>
      <c r="H33" s="21"/>
      <c r="I33" s="21"/>
      <c r="J33" s="67">
        <f t="shared" si="5"/>
        <v>44.4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45.75" customHeight="1">
      <c r="A34" s="58" t="s">
        <v>225</v>
      </c>
      <c r="B34" s="36" t="s">
        <v>78</v>
      </c>
      <c r="C34" s="26">
        <f t="shared" si="3"/>
        <v>35406.2</v>
      </c>
      <c r="D34" s="21">
        <v>12841.6</v>
      </c>
      <c r="E34" s="21">
        <v>3629.1</v>
      </c>
      <c r="F34" s="21">
        <v>18935.5</v>
      </c>
      <c r="G34" s="21">
        <v>6598</v>
      </c>
      <c r="H34" s="21"/>
      <c r="I34" s="21"/>
      <c r="J34" s="67">
        <f t="shared" si="5"/>
        <v>42004.2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63.75">
      <c r="A35" s="58" t="s">
        <v>197</v>
      </c>
      <c r="B35" s="20" t="s">
        <v>196</v>
      </c>
      <c r="C35" s="26">
        <f t="shared" si="3"/>
        <v>153.5</v>
      </c>
      <c r="D35" s="21"/>
      <c r="E35" s="21"/>
      <c r="F35" s="21">
        <v>153.5</v>
      </c>
      <c r="G35" s="21"/>
      <c r="H35" s="21"/>
      <c r="I35" s="21"/>
      <c r="J35" s="67">
        <f t="shared" si="5"/>
        <v>153.5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 customHeight="1">
      <c r="A36" s="58" t="s">
        <v>189</v>
      </c>
      <c r="B36" s="36" t="s">
        <v>268</v>
      </c>
      <c r="C36" s="26">
        <f t="shared" si="3"/>
        <v>1081.4</v>
      </c>
      <c r="D36" s="21">
        <v>526.4</v>
      </c>
      <c r="E36" s="21">
        <v>66.2</v>
      </c>
      <c r="F36" s="21">
        <v>488.8</v>
      </c>
      <c r="G36" s="21">
        <v>0</v>
      </c>
      <c r="H36" s="21"/>
      <c r="I36" s="21"/>
      <c r="J36" s="67">
        <f t="shared" si="5"/>
        <v>1081.4</v>
      </c>
      <c r="K36" s="83"/>
      <c r="L36" s="27"/>
      <c r="M36" s="83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s="18" customFormat="1" ht="25.5" customHeight="1">
      <c r="A37" s="56"/>
      <c r="B37" s="50" t="s">
        <v>222</v>
      </c>
      <c r="C37" s="41">
        <f t="shared" si="3"/>
        <v>161080</v>
      </c>
      <c r="D37" s="41">
        <f>D39+D40+D42+D43+D44+D41+D38</f>
        <v>57682.3</v>
      </c>
      <c r="E37" s="41">
        <f>E39+E40+E42+E43+E44+E41+E38</f>
        <v>23989.2</v>
      </c>
      <c r="F37" s="41">
        <f>F39+F40+F42+F43+F44+F41+F38</f>
        <v>79408.49999999999</v>
      </c>
      <c r="G37" s="41">
        <f>G39+G40+G42+G43+G44+G41+G38+G45</f>
        <v>39538.6</v>
      </c>
      <c r="H37" s="41">
        <f>H39+H40+H42+H43+H44+H41+H38</f>
        <v>0</v>
      </c>
      <c r="I37" s="41" t="e">
        <f>I39+#REF!+#REF!+I40+I42+#REF!+I43+I44+#REF!+#REF!+#REF!+I41+#REF!+#REF!+I38</f>
        <v>#REF!</v>
      </c>
      <c r="J37" s="57">
        <f t="shared" si="5"/>
        <v>200618.6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11" s="18" customFormat="1" ht="27" customHeight="1">
      <c r="A38" s="58" t="s">
        <v>76</v>
      </c>
      <c r="B38" s="145" t="s">
        <v>77</v>
      </c>
      <c r="C38" s="26">
        <f t="shared" si="3"/>
        <v>1517.4</v>
      </c>
      <c r="D38" s="135"/>
      <c r="E38" s="135"/>
      <c r="F38" s="26">
        <v>1517.4</v>
      </c>
      <c r="G38" s="135"/>
      <c r="H38" s="135"/>
      <c r="I38" s="135"/>
      <c r="J38" s="59">
        <f t="shared" si="5"/>
        <v>1517.4</v>
      </c>
      <c r="K38" s="24"/>
    </row>
    <row r="39" spans="1:58" ht="15" customHeight="1">
      <c r="A39" s="58" t="s">
        <v>233</v>
      </c>
      <c r="B39" s="20" t="s">
        <v>234</v>
      </c>
      <c r="C39" s="26">
        <f t="shared" si="3"/>
        <v>0.6</v>
      </c>
      <c r="D39" s="21"/>
      <c r="E39" s="21"/>
      <c r="F39" s="21">
        <v>0.6</v>
      </c>
      <c r="G39" s="21"/>
      <c r="H39" s="21"/>
      <c r="I39" s="21"/>
      <c r="J39" s="67">
        <f t="shared" si="5"/>
        <v>0.6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04.25" customHeight="1">
      <c r="A40" s="58" t="s">
        <v>101</v>
      </c>
      <c r="B40" s="20" t="s">
        <v>100</v>
      </c>
      <c r="C40" s="26">
        <f t="shared" si="3"/>
        <v>156028.9</v>
      </c>
      <c r="D40" s="21">
        <v>57682.3</v>
      </c>
      <c r="E40" s="21">
        <v>23989.2</v>
      </c>
      <c r="F40" s="21">
        <v>74357.4</v>
      </c>
      <c r="G40" s="21">
        <v>31816.8</v>
      </c>
      <c r="H40" s="21"/>
      <c r="I40" s="21"/>
      <c r="J40" s="67">
        <f t="shared" si="5"/>
        <v>187845.69999999998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29.25" customHeight="1">
      <c r="A41" s="58" t="s">
        <v>237</v>
      </c>
      <c r="B41" s="20" t="s">
        <v>269</v>
      </c>
      <c r="C41" s="26">
        <f>D41+E41+F41</f>
        <v>329.5</v>
      </c>
      <c r="D41" s="26"/>
      <c r="E41" s="26"/>
      <c r="F41" s="26">
        <v>329.5</v>
      </c>
      <c r="G41" s="26"/>
      <c r="H41" s="26"/>
      <c r="I41" s="26"/>
      <c r="J41" s="59">
        <f t="shared" si="5"/>
        <v>329.5</v>
      </c>
      <c r="K41" s="7"/>
      <c r="L41" s="1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" customHeight="1">
      <c r="A42" s="58" t="s">
        <v>98</v>
      </c>
      <c r="B42" s="17" t="s">
        <v>114</v>
      </c>
      <c r="C42" s="26">
        <f aca="true" t="shared" si="6" ref="C42:C63">D42+E42+F42</f>
        <v>1226.9</v>
      </c>
      <c r="D42" s="21"/>
      <c r="E42" s="21"/>
      <c r="F42" s="21">
        <v>1226.9</v>
      </c>
      <c r="G42" s="21"/>
      <c r="H42" s="21"/>
      <c r="I42" s="21"/>
      <c r="J42" s="67">
        <f t="shared" si="5"/>
        <v>1226.9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28.5" customHeight="1">
      <c r="A43" s="58" t="s">
        <v>279</v>
      </c>
      <c r="B43" s="20" t="s">
        <v>284</v>
      </c>
      <c r="C43" s="26">
        <f t="shared" si="6"/>
        <v>1000</v>
      </c>
      <c r="D43" s="26"/>
      <c r="E43" s="26"/>
      <c r="F43" s="26">
        <v>1000</v>
      </c>
      <c r="G43" s="21"/>
      <c r="H43" s="21"/>
      <c r="I43" s="21"/>
      <c r="J43" s="67">
        <f t="shared" si="5"/>
        <v>1000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" customHeight="1">
      <c r="A44" s="58" t="s">
        <v>285</v>
      </c>
      <c r="B44" s="20" t="s">
        <v>286</v>
      </c>
      <c r="C44" s="26">
        <f t="shared" si="6"/>
        <v>976.7</v>
      </c>
      <c r="D44" s="26"/>
      <c r="E44" s="26"/>
      <c r="F44" s="26">
        <v>976.7</v>
      </c>
      <c r="G44" s="21"/>
      <c r="H44" s="21"/>
      <c r="I44" s="21"/>
      <c r="J44" s="67">
        <f t="shared" si="5"/>
        <v>976.7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91.5" customHeight="1">
      <c r="A45" s="58" t="s">
        <v>293</v>
      </c>
      <c r="B45" s="292" t="s">
        <v>294</v>
      </c>
      <c r="C45" s="26"/>
      <c r="D45" s="26"/>
      <c r="E45" s="26"/>
      <c r="F45" s="26"/>
      <c r="G45" s="21">
        <v>7721.8</v>
      </c>
      <c r="H45" s="21"/>
      <c r="I45" s="21"/>
      <c r="J45" s="67">
        <f t="shared" si="5"/>
        <v>7721.8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10" ht="27.75" customHeight="1">
      <c r="A46" s="56"/>
      <c r="B46" s="51" t="s">
        <v>223</v>
      </c>
      <c r="C46" s="41">
        <f>D46+E46+F46</f>
        <v>15969.099999999999</v>
      </c>
      <c r="D46" s="41">
        <f>D47+D48+D49+D50+D51+D52+D53+D55+D54</f>
        <v>2132.7</v>
      </c>
      <c r="E46" s="41">
        <f>E47+E48+E49+E50+E51+E52+E53+E55+E54</f>
        <v>651.9</v>
      </c>
      <c r="F46" s="41">
        <f>F47+F48+F49+F50+F51+F52+F53+F55+F54</f>
        <v>13184.499999999998</v>
      </c>
      <c r="G46" s="41">
        <f>G47+G48+G49+G50+G51+G52+G53+G55+G54</f>
        <v>0</v>
      </c>
      <c r="H46" s="41">
        <f>H47+H48+H49+H50+H51+H52+H53+H55+H54</f>
        <v>0</v>
      </c>
      <c r="I46" s="23"/>
      <c r="J46" s="81">
        <f t="shared" si="5"/>
        <v>15969.099999999999</v>
      </c>
    </row>
    <row r="47" spans="1:58" ht="18" customHeight="1">
      <c r="A47" s="58" t="s">
        <v>38</v>
      </c>
      <c r="B47" s="17" t="s">
        <v>39</v>
      </c>
      <c r="C47" s="26">
        <f t="shared" si="6"/>
        <v>899.6999999999999</v>
      </c>
      <c r="D47" s="26">
        <v>527.8</v>
      </c>
      <c r="E47" s="26">
        <v>26.9</v>
      </c>
      <c r="F47" s="26">
        <v>345</v>
      </c>
      <c r="G47" s="21"/>
      <c r="H47" s="21"/>
      <c r="I47" s="21"/>
      <c r="J47" s="67">
        <f t="shared" si="5"/>
        <v>899.6999999999999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25.5">
      <c r="A48" s="58" t="s">
        <v>40</v>
      </c>
      <c r="B48" s="17" t="s">
        <v>41</v>
      </c>
      <c r="C48" s="26">
        <f t="shared" si="6"/>
        <v>176.6</v>
      </c>
      <c r="D48" s="26"/>
      <c r="E48" s="26"/>
      <c r="F48" s="26">
        <v>176.6</v>
      </c>
      <c r="G48" s="21"/>
      <c r="H48" s="21"/>
      <c r="I48" s="21"/>
      <c r="J48" s="67">
        <f t="shared" si="5"/>
        <v>176.6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25.5">
      <c r="A49" s="58" t="s">
        <v>42</v>
      </c>
      <c r="B49" s="17" t="s">
        <v>91</v>
      </c>
      <c r="C49" s="26">
        <f t="shared" si="6"/>
        <v>1080.6</v>
      </c>
      <c r="D49" s="26"/>
      <c r="E49" s="26"/>
      <c r="F49" s="26">
        <v>1080.6</v>
      </c>
      <c r="G49" s="21"/>
      <c r="H49" s="21"/>
      <c r="I49" s="21"/>
      <c r="J49" s="67">
        <f t="shared" si="5"/>
        <v>1080.6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25.5">
      <c r="A50" s="58" t="s">
        <v>43</v>
      </c>
      <c r="B50" s="17" t="s">
        <v>44</v>
      </c>
      <c r="C50" s="26">
        <f t="shared" si="6"/>
        <v>132</v>
      </c>
      <c r="D50" s="26"/>
      <c r="E50" s="26"/>
      <c r="F50" s="26">
        <v>132</v>
      </c>
      <c r="G50" s="21"/>
      <c r="H50" s="21"/>
      <c r="I50" s="21"/>
      <c r="J50" s="67">
        <f t="shared" si="5"/>
        <v>132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5" customHeight="1">
      <c r="A51" s="58" t="s">
        <v>45</v>
      </c>
      <c r="B51" s="17" t="s">
        <v>46</v>
      </c>
      <c r="C51" s="26">
        <f t="shared" si="6"/>
        <v>1247.9</v>
      </c>
      <c r="D51" s="26">
        <v>497.4</v>
      </c>
      <c r="E51" s="26">
        <v>108</v>
      </c>
      <c r="F51" s="26">
        <v>642.5</v>
      </c>
      <c r="G51" s="21"/>
      <c r="H51" s="21"/>
      <c r="I51" s="21"/>
      <c r="J51" s="67">
        <f t="shared" si="5"/>
        <v>1247.9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58" t="s">
        <v>47</v>
      </c>
      <c r="B52" s="17" t="s">
        <v>48</v>
      </c>
      <c r="C52" s="26">
        <f t="shared" si="6"/>
        <v>2813.4</v>
      </c>
      <c r="D52" s="26">
        <v>1107.5</v>
      </c>
      <c r="E52" s="26">
        <v>517</v>
      </c>
      <c r="F52" s="26">
        <v>1188.9</v>
      </c>
      <c r="G52" s="21"/>
      <c r="H52" s="21"/>
      <c r="I52" s="21"/>
      <c r="J52" s="67">
        <f t="shared" si="5"/>
        <v>2813.4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25.5">
      <c r="A53" s="58" t="s">
        <v>49</v>
      </c>
      <c r="B53" s="17" t="s">
        <v>50</v>
      </c>
      <c r="C53" s="26">
        <f t="shared" si="6"/>
        <v>188.5</v>
      </c>
      <c r="D53" s="26"/>
      <c r="E53" s="26"/>
      <c r="F53" s="26">
        <v>188.5</v>
      </c>
      <c r="G53" s="21"/>
      <c r="H53" s="21"/>
      <c r="I53" s="21"/>
      <c r="J53" s="67">
        <f t="shared" si="5"/>
        <v>188.5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51">
      <c r="A54" s="58" t="s">
        <v>74</v>
      </c>
      <c r="B54" s="20" t="s">
        <v>75</v>
      </c>
      <c r="C54" s="26">
        <f t="shared" si="6"/>
        <v>9429.599999999999</v>
      </c>
      <c r="D54" s="26"/>
      <c r="E54" s="26"/>
      <c r="F54" s="26">
        <f>217.8+9211.8</f>
        <v>9429.599999999999</v>
      </c>
      <c r="G54" s="26"/>
      <c r="H54" s="26"/>
      <c r="I54" s="26"/>
      <c r="J54" s="59">
        <f t="shared" si="5"/>
        <v>9429.599999999999</v>
      </c>
      <c r="K54" s="7"/>
      <c r="L54" s="1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ht="64.5" customHeight="1">
      <c r="A55" s="58" t="s">
        <v>195</v>
      </c>
      <c r="B55" s="20" t="s">
        <v>196</v>
      </c>
      <c r="C55" s="26">
        <f t="shared" si="6"/>
        <v>0.8</v>
      </c>
      <c r="D55" s="21"/>
      <c r="E55" s="21"/>
      <c r="F55" s="21">
        <v>0.8</v>
      </c>
      <c r="G55" s="21"/>
      <c r="H55" s="21"/>
      <c r="I55" s="21"/>
      <c r="J55" s="67">
        <f t="shared" si="5"/>
        <v>0.8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s="18" customFormat="1" ht="29.25" customHeight="1">
      <c r="A56" s="56"/>
      <c r="B56" s="51" t="s">
        <v>330</v>
      </c>
      <c r="C56" s="41">
        <f>D56+E56+F56</f>
        <v>11921.900000000001</v>
      </c>
      <c r="D56" s="23"/>
      <c r="E56" s="23"/>
      <c r="F56" s="23">
        <f>F57+F60</f>
        <v>11921.900000000001</v>
      </c>
      <c r="G56" s="23">
        <f>G59+G57</f>
        <v>13540.8</v>
      </c>
      <c r="H56" s="23"/>
      <c r="I56" s="23"/>
      <c r="J56" s="81">
        <f t="shared" si="5"/>
        <v>25462.7</v>
      </c>
      <c r="K56" s="82"/>
      <c r="L56" s="82"/>
      <c r="M56" s="82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1:58" s="18" customFormat="1" ht="17.25" customHeight="1">
      <c r="A57" s="58" t="s">
        <v>344</v>
      </c>
      <c r="B57" s="17" t="s">
        <v>346</v>
      </c>
      <c r="C57" s="26">
        <f t="shared" si="6"/>
        <v>4651.8</v>
      </c>
      <c r="D57" s="23"/>
      <c r="E57" s="23"/>
      <c r="F57" s="21">
        <f>4956.8-305</f>
        <v>4651.8</v>
      </c>
      <c r="G57" s="21">
        <f>17000-17000</f>
        <v>0</v>
      </c>
      <c r="H57" s="23"/>
      <c r="I57" s="23"/>
      <c r="J57" s="67">
        <f t="shared" si="5"/>
        <v>4651.8</v>
      </c>
      <c r="K57" s="82"/>
      <c r="L57" s="82"/>
      <c r="M57" s="82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1:58" s="18" customFormat="1" ht="23.25" customHeight="1">
      <c r="A58" s="58"/>
      <c r="B58" s="17" t="s">
        <v>337</v>
      </c>
      <c r="C58" s="26">
        <f t="shared" si="6"/>
        <v>4651.8</v>
      </c>
      <c r="D58" s="23"/>
      <c r="E58" s="23"/>
      <c r="F58" s="21">
        <v>4651.8</v>
      </c>
      <c r="G58" s="21"/>
      <c r="H58" s="23"/>
      <c r="I58" s="23"/>
      <c r="J58" s="67">
        <f t="shared" si="5"/>
        <v>4651.8</v>
      </c>
      <c r="K58" s="82"/>
      <c r="L58" s="82"/>
      <c r="M58" s="82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s="18" customFormat="1" ht="94.5" customHeight="1">
      <c r="A59" s="58" t="s">
        <v>321</v>
      </c>
      <c r="B59" s="47" t="s">
        <v>324</v>
      </c>
      <c r="C59" s="26">
        <f t="shared" si="6"/>
        <v>0</v>
      </c>
      <c r="D59" s="21"/>
      <c r="E59" s="21"/>
      <c r="F59" s="21"/>
      <c r="G59" s="21">
        <v>13540.8</v>
      </c>
      <c r="H59" s="23"/>
      <c r="I59" s="23"/>
      <c r="J59" s="67">
        <f t="shared" si="5"/>
        <v>13540.8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s="18" customFormat="1" ht="25.5" customHeight="1">
      <c r="A60" s="58" t="s">
        <v>60</v>
      </c>
      <c r="B60" s="20" t="s">
        <v>333</v>
      </c>
      <c r="C60" s="26">
        <f t="shared" si="6"/>
        <v>7270.1</v>
      </c>
      <c r="D60" s="21"/>
      <c r="E60" s="21"/>
      <c r="F60" s="21">
        <v>7270.1</v>
      </c>
      <c r="G60" s="21"/>
      <c r="H60" s="23"/>
      <c r="I60" s="23"/>
      <c r="J60" s="67">
        <f t="shared" si="5"/>
        <v>7270.1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12" ht="23.25" customHeight="1">
      <c r="A61" s="58"/>
      <c r="B61" s="51" t="s">
        <v>3</v>
      </c>
      <c r="C61" s="41">
        <f>D61+E61+F61</f>
        <v>128978.20000000001</v>
      </c>
      <c r="D61" s="41">
        <f>D65+D67+D69+D62+D63+D66</f>
        <v>27320.7</v>
      </c>
      <c r="E61" s="41">
        <f>E65+E67+E69+E62+E63+E66</f>
        <v>5316</v>
      </c>
      <c r="F61" s="41">
        <f>F65+F67+F69+F62+F63+F66</f>
        <v>96341.50000000001</v>
      </c>
      <c r="G61" s="41">
        <f>G65+G67+G69+G62+G63+G64</f>
        <v>2300.5</v>
      </c>
      <c r="H61" s="41">
        <f>H65+H67+H69+H62+H63</f>
        <v>0</v>
      </c>
      <c r="I61" s="41" t="e">
        <f>I65+I67+I69+#REF!+I62+I63+#REF!+#REF!</f>
        <v>#REF!</v>
      </c>
      <c r="J61" s="81">
        <f t="shared" si="5"/>
        <v>131278.7</v>
      </c>
      <c r="K61" s="37"/>
      <c r="L61" s="37"/>
    </row>
    <row r="62" spans="1:58" ht="12.75">
      <c r="A62" s="58" t="s">
        <v>52</v>
      </c>
      <c r="B62" s="17" t="s">
        <v>53</v>
      </c>
      <c r="C62" s="26">
        <f t="shared" si="6"/>
        <v>49498.5</v>
      </c>
      <c r="D62" s="26"/>
      <c r="E62" s="26"/>
      <c r="F62" s="26">
        <v>49498.5</v>
      </c>
      <c r="G62" s="26"/>
      <c r="H62" s="26"/>
      <c r="I62" s="21"/>
      <c r="J62" s="67">
        <f t="shared" si="5"/>
        <v>49498.5</v>
      </c>
      <c r="K62" s="83"/>
      <c r="L62" s="83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24.75" customHeight="1">
      <c r="A63" s="58" t="s">
        <v>54</v>
      </c>
      <c r="B63" s="17" t="s">
        <v>297</v>
      </c>
      <c r="C63" s="26">
        <f t="shared" si="6"/>
        <v>22033.4</v>
      </c>
      <c r="D63" s="26"/>
      <c r="E63" s="26">
        <v>15</v>
      </c>
      <c r="F63" s="26">
        <f>21018.4+1000</f>
        <v>22018.4</v>
      </c>
      <c r="G63" s="26"/>
      <c r="H63" s="26"/>
      <c r="I63" s="21"/>
      <c r="J63" s="67">
        <f t="shared" si="5"/>
        <v>22033.4</v>
      </c>
      <c r="K63" s="83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64" t="s">
        <v>287</v>
      </c>
      <c r="B64" s="17" t="s">
        <v>288</v>
      </c>
      <c r="C64" s="26"/>
      <c r="D64" s="26"/>
      <c r="E64" s="26"/>
      <c r="F64" s="26"/>
      <c r="G64" s="26">
        <v>130</v>
      </c>
      <c r="H64" s="26"/>
      <c r="I64" s="26"/>
      <c r="J64" s="59">
        <f t="shared" si="5"/>
        <v>130</v>
      </c>
      <c r="K64" s="7"/>
      <c r="L64" s="1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ht="38.25" customHeight="1">
      <c r="A65" s="58" t="s">
        <v>298</v>
      </c>
      <c r="B65" s="36" t="s">
        <v>299</v>
      </c>
      <c r="C65" s="26">
        <f aca="true" t="shared" si="7" ref="C65:C76">D65+E65+F65</f>
        <v>17304.4</v>
      </c>
      <c r="D65" s="21">
        <v>7679.6</v>
      </c>
      <c r="E65" s="21">
        <v>2090.8</v>
      </c>
      <c r="F65" s="21">
        <v>7534</v>
      </c>
      <c r="G65" s="21">
        <v>1201.4</v>
      </c>
      <c r="H65" s="21"/>
      <c r="I65" s="21"/>
      <c r="J65" s="67">
        <f t="shared" si="5"/>
        <v>18505.800000000003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58" t="s">
        <v>92</v>
      </c>
      <c r="B66" s="36" t="s">
        <v>300</v>
      </c>
      <c r="C66" s="26">
        <f t="shared" si="7"/>
        <v>1388.5</v>
      </c>
      <c r="D66" s="21">
        <v>304.7</v>
      </c>
      <c r="E66" s="21"/>
      <c r="F66" s="21">
        <f>1083.8</f>
        <v>1083.8</v>
      </c>
      <c r="G66" s="21"/>
      <c r="H66" s="21"/>
      <c r="I66" s="21"/>
      <c r="J66" s="67">
        <f t="shared" si="5"/>
        <v>1388.5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45.75" customHeight="1">
      <c r="A67" s="64" t="s">
        <v>225</v>
      </c>
      <c r="B67" s="84" t="s">
        <v>93</v>
      </c>
      <c r="C67" s="26">
        <f t="shared" si="7"/>
        <v>38029.4</v>
      </c>
      <c r="D67" s="21">
        <v>19336.4</v>
      </c>
      <c r="E67" s="21">
        <v>3210.2</v>
      </c>
      <c r="F67" s="21">
        <v>15482.8</v>
      </c>
      <c r="G67" s="21">
        <v>969.1</v>
      </c>
      <c r="H67" s="21"/>
      <c r="I67" s="21"/>
      <c r="J67" s="67">
        <f t="shared" si="5"/>
        <v>38998.5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67.5" customHeight="1">
      <c r="A68" s="64" t="s">
        <v>197</v>
      </c>
      <c r="B68" s="20" t="s">
        <v>196</v>
      </c>
      <c r="C68" s="26">
        <f t="shared" si="7"/>
        <v>235.2</v>
      </c>
      <c r="D68" s="21"/>
      <c r="E68" s="21"/>
      <c r="F68" s="21">
        <v>235.2</v>
      </c>
      <c r="G68" s="21"/>
      <c r="H68" s="21"/>
      <c r="I68" s="21"/>
      <c r="J68" s="67">
        <f t="shared" si="5"/>
        <v>235.2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22.5" customHeight="1">
      <c r="A69" s="58" t="s">
        <v>190</v>
      </c>
      <c r="B69" s="36" t="s">
        <v>305</v>
      </c>
      <c r="C69" s="26">
        <f t="shared" si="7"/>
        <v>724</v>
      </c>
      <c r="D69" s="21"/>
      <c r="E69" s="21"/>
      <c r="F69" s="21">
        <v>724</v>
      </c>
      <c r="G69" s="21"/>
      <c r="H69" s="21"/>
      <c r="I69" s="21"/>
      <c r="J69" s="67">
        <f t="shared" si="5"/>
        <v>724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s="18" customFormat="1" ht="25.5">
      <c r="A70" s="56"/>
      <c r="B70" s="51" t="s">
        <v>317</v>
      </c>
      <c r="C70" s="41">
        <f t="shared" si="7"/>
        <v>1303.8</v>
      </c>
      <c r="D70" s="41">
        <f>D72</f>
        <v>0</v>
      </c>
      <c r="E70" s="41">
        <f>E72</f>
        <v>0</v>
      </c>
      <c r="F70" s="41">
        <f>F72+F71</f>
        <v>1303.8</v>
      </c>
      <c r="G70" s="23"/>
      <c r="H70" s="23"/>
      <c r="I70" s="23"/>
      <c r="J70" s="81">
        <f t="shared" si="5"/>
        <v>1303.8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s="18" customFormat="1" ht="12.75">
      <c r="A71" s="64" t="s">
        <v>350</v>
      </c>
      <c r="B71" s="303" t="s">
        <v>351</v>
      </c>
      <c r="C71" s="26">
        <f t="shared" si="7"/>
        <v>500</v>
      </c>
      <c r="D71" s="41"/>
      <c r="E71" s="41"/>
      <c r="F71" s="26">
        <v>500</v>
      </c>
      <c r="G71" s="23"/>
      <c r="H71" s="23"/>
      <c r="I71" s="23"/>
      <c r="J71" s="81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5.75" customHeight="1">
      <c r="A72" s="64" t="s">
        <v>191</v>
      </c>
      <c r="B72" s="17" t="s">
        <v>242</v>
      </c>
      <c r="C72" s="26">
        <f t="shared" si="7"/>
        <v>803.8</v>
      </c>
      <c r="D72" s="21"/>
      <c r="E72" s="21"/>
      <c r="F72" s="21">
        <v>803.8</v>
      </c>
      <c r="G72" s="21"/>
      <c r="H72" s="21"/>
      <c r="I72" s="21"/>
      <c r="J72" s="67">
        <f t="shared" si="5"/>
        <v>803.8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s="18" customFormat="1" ht="25.5">
      <c r="A73" s="63"/>
      <c r="B73" s="51" t="s">
        <v>224</v>
      </c>
      <c r="C73" s="41">
        <f t="shared" si="7"/>
        <v>48885.399999999994</v>
      </c>
      <c r="D73" s="41">
        <f>D74+D75+D76</f>
        <v>13282.5</v>
      </c>
      <c r="E73" s="41">
        <f>E74+E75+E76</f>
        <v>1752.2</v>
      </c>
      <c r="F73" s="41">
        <f>F74+F75+F76</f>
        <v>33850.7</v>
      </c>
      <c r="G73" s="41">
        <f>G74+G75+G76</f>
        <v>20</v>
      </c>
      <c r="H73" s="41">
        <f>H74+H75+H76</f>
        <v>0</v>
      </c>
      <c r="I73" s="41" t="e">
        <f>I74+I75+I76+#REF!</f>
        <v>#REF!</v>
      </c>
      <c r="J73" s="81">
        <f t="shared" si="5"/>
        <v>48905.399999999994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42.75" customHeight="1">
      <c r="A74" s="58" t="s">
        <v>188</v>
      </c>
      <c r="B74" s="36" t="s">
        <v>263</v>
      </c>
      <c r="C74" s="26">
        <f t="shared" si="7"/>
        <v>34965.6</v>
      </c>
      <c r="D74" s="21">
        <v>8388.9</v>
      </c>
      <c r="E74" s="21">
        <v>425.6</v>
      </c>
      <c r="F74" s="21">
        <f>25151.1+1000</f>
        <v>26151.1</v>
      </c>
      <c r="G74" s="21"/>
      <c r="H74" s="21"/>
      <c r="I74" s="21"/>
      <c r="J74" s="67">
        <f t="shared" si="5"/>
        <v>34965.6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8.75" customHeight="1">
      <c r="A75" s="58" t="s">
        <v>192</v>
      </c>
      <c r="B75" s="84" t="s">
        <v>94</v>
      </c>
      <c r="C75" s="26">
        <f t="shared" si="7"/>
        <v>12453.400000000001</v>
      </c>
      <c r="D75" s="21">
        <v>4167.5</v>
      </c>
      <c r="E75" s="21">
        <v>1204.3</v>
      </c>
      <c r="F75" s="21">
        <v>7081.6</v>
      </c>
      <c r="G75" s="21"/>
      <c r="H75" s="21"/>
      <c r="I75" s="21"/>
      <c r="J75" s="67">
        <f t="shared" si="5"/>
        <v>12453.400000000001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26.25" customHeight="1">
      <c r="A76" s="58" t="s">
        <v>95</v>
      </c>
      <c r="B76" s="65" t="s">
        <v>116</v>
      </c>
      <c r="C76" s="26">
        <f t="shared" si="7"/>
        <v>1466.4</v>
      </c>
      <c r="D76" s="21">
        <v>726.1</v>
      </c>
      <c r="E76" s="21">
        <v>122.3</v>
      </c>
      <c r="F76" s="21">
        <v>618</v>
      </c>
      <c r="G76" s="21">
        <v>20</v>
      </c>
      <c r="H76" s="21"/>
      <c r="I76" s="21"/>
      <c r="J76" s="67">
        <f t="shared" si="5"/>
        <v>1486.4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24" customHeight="1">
      <c r="A77" s="58"/>
      <c r="B77" s="86" t="s">
        <v>255</v>
      </c>
      <c r="C77" s="23">
        <f>D79+C78+C80+C83</f>
        <v>5641.700000000001</v>
      </c>
      <c r="D77" s="21"/>
      <c r="E77" s="21"/>
      <c r="F77" s="23">
        <f>F78+F80+F83</f>
        <v>5641.700000000001</v>
      </c>
      <c r="G77" s="23">
        <f>G78+G80+G82+G83+G85</f>
        <v>67402</v>
      </c>
      <c r="H77" s="23">
        <f>H78+H80+H82</f>
        <v>49728.6</v>
      </c>
      <c r="I77" s="23" t="e">
        <f>I80+#REF!+#REF!+#REF!+#REF!+#REF!+#REF!+#REF!</f>
        <v>#REF!</v>
      </c>
      <c r="J77" s="57">
        <f t="shared" si="5"/>
        <v>73043.7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11" s="18" customFormat="1" ht="12.75" customHeight="1">
      <c r="A78" s="58" t="s">
        <v>192</v>
      </c>
      <c r="B78" s="17" t="s">
        <v>343</v>
      </c>
      <c r="C78" s="26">
        <f>F78</f>
        <v>4610.8</v>
      </c>
      <c r="D78" s="26"/>
      <c r="E78" s="26"/>
      <c r="F78" s="26">
        <v>4610.8</v>
      </c>
      <c r="G78" s="26">
        <f>H78</f>
        <v>0</v>
      </c>
      <c r="H78" s="26"/>
      <c r="I78" s="41"/>
      <c r="J78" s="59">
        <f t="shared" si="5"/>
        <v>4610.8</v>
      </c>
      <c r="K78" s="19"/>
    </row>
    <row r="79" spans="1:11" s="18" customFormat="1" ht="24.75" customHeight="1">
      <c r="A79" s="58"/>
      <c r="B79" s="17" t="s">
        <v>337</v>
      </c>
      <c r="C79" s="26">
        <v>1710.8</v>
      </c>
      <c r="D79" s="26"/>
      <c r="E79" s="26"/>
      <c r="F79" s="26">
        <v>1710.8</v>
      </c>
      <c r="G79" s="26"/>
      <c r="H79" s="26"/>
      <c r="I79" s="41"/>
      <c r="J79" s="59">
        <f t="shared" si="5"/>
        <v>1710.8</v>
      </c>
      <c r="K79" s="19"/>
    </row>
    <row r="80" spans="1:58" ht="12.75" customHeight="1">
      <c r="A80" s="58" t="s">
        <v>339</v>
      </c>
      <c r="B80" s="17" t="s">
        <v>338</v>
      </c>
      <c r="C80" s="26">
        <f>D80+E80+F80</f>
        <v>0</v>
      </c>
      <c r="D80" s="124"/>
      <c r="E80" s="124"/>
      <c r="F80" s="21"/>
      <c r="G80" s="21">
        <f>H80+15134.5-3053.4-8324</f>
        <v>53485.7</v>
      </c>
      <c r="H80" s="21">
        <f>49728.6</f>
        <v>49728.6</v>
      </c>
      <c r="I80" s="21"/>
      <c r="J80" s="67">
        <f aca="true" t="shared" si="8" ref="J80:J92">G80+C80</f>
        <v>53485.7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24" customHeight="1">
      <c r="A81" s="58"/>
      <c r="B81" s="17" t="s">
        <v>337</v>
      </c>
      <c r="C81" s="26"/>
      <c r="D81" s="124"/>
      <c r="E81" s="124"/>
      <c r="F81" s="21"/>
      <c r="G81" s="21">
        <f>1613.7+543</f>
        <v>2156.7</v>
      </c>
      <c r="H81" s="21"/>
      <c r="I81" s="21"/>
      <c r="J81" s="67">
        <f t="shared" si="8"/>
        <v>2156.7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53.25" customHeight="1">
      <c r="A82" s="58" t="s">
        <v>274</v>
      </c>
      <c r="B82" s="20" t="s">
        <v>250</v>
      </c>
      <c r="C82" s="26"/>
      <c r="D82" s="21"/>
      <c r="E82" s="21"/>
      <c r="F82" s="21"/>
      <c r="G82" s="21">
        <v>4000</v>
      </c>
      <c r="H82" s="21"/>
      <c r="I82" s="21"/>
      <c r="J82" s="67">
        <f t="shared" si="8"/>
        <v>4000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11" s="18" customFormat="1" ht="30" customHeight="1">
      <c r="A83" s="297" t="s">
        <v>334</v>
      </c>
      <c r="B83" s="20" t="s">
        <v>340</v>
      </c>
      <c r="C83" s="26">
        <f>D83+E83+F83</f>
        <v>1030.9</v>
      </c>
      <c r="D83" s="26"/>
      <c r="E83" s="26"/>
      <c r="F83" s="26">
        <v>1030.9</v>
      </c>
      <c r="G83" s="26">
        <f>11355.2+1592.3+543+182.9+3053.4-1592.3-15134.5</f>
        <v>0</v>
      </c>
      <c r="H83" s="26"/>
      <c r="I83" s="26"/>
      <c r="J83" s="67">
        <f t="shared" si="8"/>
        <v>1030.9</v>
      </c>
      <c r="K83" s="19"/>
    </row>
    <row r="84" spans="1:11" s="18" customFormat="1" ht="25.5" customHeight="1">
      <c r="A84" s="297"/>
      <c r="B84" s="17" t="s">
        <v>337</v>
      </c>
      <c r="C84" s="26">
        <f>D84+E84+F84</f>
        <v>1030.9</v>
      </c>
      <c r="D84" s="26"/>
      <c r="E84" s="26"/>
      <c r="F84" s="26">
        <v>1030.9</v>
      </c>
      <c r="G84" s="26"/>
      <c r="H84" s="26"/>
      <c r="I84" s="26"/>
      <c r="J84" s="67">
        <f t="shared" si="8"/>
        <v>1030.9</v>
      </c>
      <c r="K84" s="19"/>
    </row>
    <row r="85" spans="1:11" s="18" customFormat="1" ht="25.5" customHeight="1">
      <c r="A85" s="300" t="s">
        <v>60</v>
      </c>
      <c r="B85" s="20" t="s">
        <v>333</v>
      </c>
      <c r="C85" s="26"/>
      <c r="D85" s="26"/>
      <c r="E85" s="26"/>
      <c r="F85" s="26"/>
      <c r="G85" s="26">
        <v>9916.3</v>
      </c>
      <c r="H85" s="26"/>
      <c r="I85" s="26"/>
      <c r="J85" s="67">
        <f t="shared" si="8"/>
        <v>9916.3</v>
      </c>
      <c r="K85" s="19"/>
    </row>
    <row r="86" spans="1:58" ht="15" customHeight="1">
      <c r="A86" s="58"/>
      <c r="B86" s="86" t="s">
        <v>332</v>
      </c>
      <c r="C86" s="41">
        <f>D86+E86+F86</f>
        <v>300</v>
      </c>
      <c r="D86" s="23"/>
      <c r="E86" s="23"/>
      <c r="F86" s="23">
        <f>F87</f>
        <v>300</v>
      </c>
      <c r="G86" s="23"/>
      <c r="H86" s="23">
        <f>G86</f>
        <v>0</v>
      </c>
      <c r="I86" s="23" t="e">
        <f>#REF!</f>
        <v>#REF!</v>
      </c>
      <c r="J86" s="81">
        <f t="shared" si="8"/>
        <v>300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25.5" customHeight="1">
      <c r="A87" s="64" t="s">
        <v>335</v>
      </c>
      <c r="B87" s="151" t="s">
        <v>341</v>
      </c>
      <c r="C87" s="26">
        <f>D87+E87+F87</f>
        <v>300</v>
      </c>
      <c r="D87" s="124"/>
      <c r="E87" s="124"/>
      <c r="F87" s="21">
        <v>300</v>
      </c>
      <c r="G87" s="21"/>
      <c r="H87" s="21"/>
      <c r="I87" s="21"/>
      <c r="J87" s="67">
        <f t="shared" si="8"/>
        <v>300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23.25" customHeight="1">
      <c r="A88" s="64"/>
      <c r="B88" s="17" t="s">
        <v>337</v>
      </c>
      <c r="C88" s="26">
        <v>300</v>
      </c>
      <c r="D88" s="124"/>
      <c r="E88" s="124"/>
      <c r="F88" s="21">
        <v>300</v>
      </c>
      <c r="G88" s="21"/>
      <c r="H88" s="21"/>
      <c r="I88" s="21"/>
      <c r="J88" s="67">
        <f t="shared" si="8"/>
        <v>300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s="18" customFormat="1" ht="38.25" customHeight="1">
      <c r="A89" s="56"/>
      <c r="B89" s="52" t="s">
        <v>301</v>
      </c>
      <c r="C89" s="41">
        <f>C90</f>
        <v>220</v>
      </c>
      <c r="D89" s="123">
        <f>D90</f>
        <v>0</v>
      </c>
      <c r="E89" s="123">
        <f>E90</f>
        <v>0</v>
      </c>
      <c r="F89" s="41">
        <f>F90</f>
        <v>220</v>
      </c>
      <c r="G89" s="23"/>
      <c r="H89" s="23"/>
      <c r="I89" s="23"/>
      <c r="J89" s="81">
        <f t="shared" si="8"/>
        <v>220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ht="29.25" customHeight="1">
      <c r="A90" s="58" t="s">
        <v>336</v>
      </c>
      <c r="B90" s="298" t="s">
        <v>342</v>
      </c>
      <c r="C90" s="26">
        <f>D90+E90+F90</f>
        <v>220</v>
      </c>
      <c r="D90" s="124"/>
      <c r="E90" s="124"/>
      <c r="F90" s="21">
        <v>220</v>
      </c>
      <c r="G90" s="21"/>
      <c r="H90" s="21"/>
      <c r="I90" s="21"/>
      <c r="J90" s="67">
        <f t="shared" si="8"/>
        <v>220</v>
      </c>
      <c r="K90" s="83"/>
      <c r="L90" s="126"/>
      <c r="M90" s="83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24" customHeight="1">
      <c r="A91" s="58"/>
      <c r="B91" s="17" t="s">
        <v>337</v>
      </c>
      <c r="C91" s="26">
        <v>220</v>
      </c>
      <c r="D91" s="124"/>
      <c r="E91" s="124"/>
      <c r="F91" s="21">
        <v>220</v>
      </c>
      <c r="G91" s="21"/>
      <c r="H91" s="21"/>
      <c r="I91" s="21"/>
      <c r="J91" s="67">
        <f t="shared" si="8"/>
        <v>220</v>
      </c>
      <c r="K91" s="83"/>
      <c r="L91" s="126"/>
      <c r="M91" s="83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s="18" customFormat="1" ht="16.5" customHeight="1">
      <c r="A92" s="56"/>
      <c r="B92" s="51" t="s">
        <v>198</v>
      </c>
      <c r="C92" s="41">
        <f>D92+E92+F92</f>
        <v>2027183.9</v>
      </c>
      <c r="D92" s="41">
        <f>D93+D94+D96+D97+D98+D99+D100+D101+D102+D103+D104+D112+D106+D111+D105+D110+D107</f>
        <v>0</v>
      </c>
      <c r="E92" s="41">
        <f>E93+E94+E96+E97+E98+E99+E100+E101+E102+E103+E104+E112+E106+E111+E105+E110+E107</f>
        <v>0</v>
      </c>
      <c r="F92" s="41">
        <f>F93+F94+F96+F97+F98+F99+F100+F101+F102+F103+F104+F112+F106+F111+F105+F110+F107</f>
        <v>2027183.9</v>
      </c>
      <c r="G92" s="41">
        <f>G93+G94+G96+G97+G98+G99+G100+G101+G102+G103+G104+G112+G106+G111+G105+G110+G107+G113</f>
        <v>635463</v>
      </c>
      <c r="H92" s="41">
        <f>H93+H94+H96+H97+H98+H99+H100+H101+H102+H103+H104+H112+H106+H111+H105+H110+H107</f>
        <v>0</v>
      </c>
      <c r="I92" s="41" t="e">
        <f>I93+#REF!+#REF!+I94+#REF!+#REF!+I96+I97+I98+I99+I100+I101+I102+I103+I104+#REF!+I112+I106+#REF!+#REF!+#REF!+I111+#REF!+#REF!+I105+I110+I107</f>
        <v>#REF!</v>
      </c>
      <c r="J92" s="81">
        <f t="shared" si="8"/>
        <v>2662646.9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27" customHeight="1">
      <c r="A93" s="58" t="s">
        <v>193</v>
      </c>
      <c r="B93" s="17" t="s">
        <v>247</v>
      </c>
      <c r="C93" s="26">
        <f>D93+E93+F93</f>
        <v>0</v>
      </c>
      <c r="D93" s="21"/>
      <c r="E93" s="21"/>
      <c r="F93" s="21"/>
      <c r="G93" s="21">
        <v>52200</v>
      </c>
      <c r="H93" s="21"/>
      <c r="I93" s="21"/>
      <c r="J93" s="67">
        <f aca="true" t="shared" si="9" ref="J93:J101">C93+G93</f>
        <v>52200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24.75" customHeight="1">
      <c r="A94" s="58" t="s">
        <v>96</v>
      </c>
      <c r="B94" s="20" t="s">
        <v>248</v>
      </c>
      <c r="C94" s="26">
        <f>D94+E94+F94</f>
        <v>85340</v>
      </c>
      <c r="D94" s="21"/>
      <c r="E94" s="21"/>
      <c r="F94" s="21">
        <f>102020.3-930.8-3071.8-10379.7+93+305-2196-500</f>
        <v>85340</v>
      </c>
      <c r="G94" s="21"/>
      <c r="H94" s="21">
        <f>G94</f>
        <v>0</v>
      </c>
      <c r="I94" s="21"/>
      <c r="J94" s="67">
        <f t="shared" si="9"/>
        <v>85340</v>
      </c>
      <c r="K94" s="83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26.25" customHeight="1">
      <c r="A95" s="58" t="s">
        <v>57</v>
      </c>
      <c r="B95" s="17" t="s">
        <v>58</v>
      </c>
      <c r="C95" s="26">
        <f>D95+E95+F95</f>
        <v>0</v>
      </c>
      <c r="D95" s="21"/>
      <c r="E95" s="21"/>
      <c r="F95" s="21"/>
      <c r="G95" s="21"/>
      <c r="H95" s="21"/>
      <c r="I95" s="21"/>
      <c r="J95" s="67">
        <f t="shared" si="9"/>
        <v>0</v>
      </c>
      <c r="K95" s="83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63.75">
      <c r="A96" s="58" t="s">
        <v>306</v>
      </c>
      <c r="B96" s="20" t="s">
        <v>250</v>
      </c>
      <c r="C96" s="130">
        <f>D96+E96+F96</f>
        <v>0</v>
      </c>
      <c r="D96" s="21"/>
      <c r="E96" s="21"/>
      <c r="F96" s="21"/>
      <c r="G96" s="21">
        <v>101400</v>
      </c>
      <c r="H96" s="21"/>
      <c r="I96" s="21"/>
      <c r="J96" s="67">
        <f t="shared" si="9"/>
        <v>101400</v>
      </c>
      <c r="K96" s="27"/>
      <c r="L96" s="83">
        <f>L94-K94</f>
        <v>0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7.25" customHeight="1">
      <c r="A97" s="64" t="s">
        <v>304</v>
      </c>
      <c r="B97" s="36" t="s">
        <v>252</v>
      </c>
      <c r="C97" s="26">
        <f aca="true" t="shared" si="10" ref="C97:C112">D97+E97+F97</f>
        <v>10000</v>
      </c>
      <c r="D97" s="21"/>
      <c r="E97" s="21"/>
      <c r="F97" s="21">
        <v>10000</v>
      </c>
      <c r="G97" s="21"/>
      <c r="H97" s="21"/>
      <c r="I97" s="21"/>
      <c r="J97" s="67">
        <f t="shared" si="9"/>
        <v>10000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24.75" customHeight="1">
      <c r="A98" s="64" t="s">
        <v>194</v>
      </c>
      <c r="B98" s="20" t="s">
        <v>257</v>
      </c>
      <c r="C98" s="26">
        <f t="shared" si="10"/>
        <v>43732</v>
      </c>
      <c r="D98" s="21"/>
      <c r="E98" s="21"/>
      <c r="F98" s="26">
        <f>60732-17000</f>
        <v>43732</v>
      </c>
      <c r="G98" s="21"/>
      <c r="H98" s="21"/>
      <c r="I98" s="21"/>
      <c r="J98" s="67">
        <f t="shared" si="9"/>
        <v>43732</v>
      </c>
      <c r="K98" s="83"/>
      <c r="L98" s="83"/>
      <c r="M98" s="83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12" s="18" customFormat="1" ht="25.5">
      <c r="A99" s="64" t="s">
        <v>289</v>
      </c>
      <c r="B99" s="42" t="s">
        <v>290</v>
      </c>
      <c r="C99" s="26">
        <f t="shared" si="10"/>
        <v>46445.6</v>
      </c>
      <c r="D99" s="41"/>
      <c r="E99" s="41"/>
      <c r="F99" s="26">
        <v>46445.6</v>
      </c>
      <c r="G99" s="41"/>
      <c r="H99" s="41"/>
      <c r="I99" s="41"/>
      <c r="J99" s="59">
        <f t="shared" si="9"/>
        <v>46445.6</v>
      </c>
      <c r="K99" s="24"/>
      <c r="L99" s="25"/>
    </row>
    <row r="100" spans="1:58" ht="55.5" customHeight="1">
      <c r="A100" s="64" t="s">
        <v>102</v>
      </c>
      <c r="B100" s="68" t="s">
        <v>99</v>
      </c>
      <c r="C100" s="26">
        <f t="shared" si="10"/>
        <v>16467.9</v>
      </c>
      <c r="D100" s="21"/>
      <c r="E100" s="21"/>
      <c r="F100" s="26">
        <v>16467.9</v>
      </c>
      <c r="G100" s="21"/>
      <c r="H100" s="21"/>
      <c r="I100" s="21"/>
      <c r="J100" s="67">
        <f t="shared" si="9"/>
        <v>16467.9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57" customHeight="1">
      <c r="A101" s="64" t="s">
        <v>4</v>
      </c>
      <c r="B101" s="68" t="s">
        <v>2</v>
      </c>
      <c r="C101" s="26">
        <f t="shared" si="10"/>
        <v>1319445.9</v>
      </c>
      <c r="D101" s="41"/>
      <c r="E101" s="41"/>
      <c r="F101" s="43">
        <v>1319445.9</v>
      </c>
      <c r="G101" s="41"/>
      <c r="H101" s="41"/>
      <c r="I101" s="41"/>
      <c r="J101" s="59">
        <f t="shared" si="9"/>
        <v>1319445.9</v>
      </c>
      <c r="K101" s="7"/>
      <c r="L101" s="1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12" s="18" customFormat="1" ht="69" customHeight="1">
      <c r="A102" s="64" t="s">
        <v>62</v>
      </c>
      <c r="B102" s="144" t="s">
        <v>84</v>
      </c>
      <c r="C102" s="26">
        <f t="shared" si="10"/>
        <v>279217.8</v>
      </c>
      <c r="D102" s="85"/>
      <c r="E102" s="85"/>
      <c r="F102" s="138">
        <v>279217.8</v>
      </c>
      <c r="G102" s="43">
        <v>431291.4</v>
      </c>
      <c r="H102" s="163"/>
      <c r="I102" s="163"/>
      <c r="J102" s="164">
        <f>G102+C102</f>
        <v>710509.2</v>
      </c>
      <c r="K102" s="24"/>
      <c r="L102" s="25"/>
    </row>
    <row r="103" spans="1:12" s="18" customFormat="1" ht="104.25" customHeight="1">
      <c r="A103" s="64" t="s">
        <v>63</v>
      </c>
      <c r="B103" s="165" t="s">
        <v>282</v>
      </c>
      <c r="C103" s="26">
        <f t="shared" si="10"/>
        <v>147643.8</v>
      </c>
      <c r="D103" s="26"/>
      <c r="E103" s="26"/>
      <c r="F103" s="43">
        <v>147643.8</v>
      </c>
      <c r="G103" s="26"/>
      <c r="H103" s="26"/>
      <c r="I103" s="26"/>
      <c r="J103" s="67">
        <f>G103+C103</f>
        <v>147643.8</v>
      </c>
      <c r="K103" s="24"/>
      <c r="L103" s="25"/>
    </row>
    <row r="104" spans="1:12" s="18" customFormat="1" ht="69.75" customHeight="1">
      <c r="A104" s="114" t="s">
        <v>64</v>
      </c>
      <c r="B104" s="65" t="s">
        <v>5</v>
      </c>
      <c r="C104" s="26">
        <f t="shared" si="10"/>
        <v>31741.9</v>
      </c>
      <c r="D104" s="113"/>
      <c r="E104" s="113"/>
      <c r="F104" s="138">
        <v>31741.9</v>
      </c>
      <c r="G104" s="113"/>
      <c r="H104" s="113"/>
      <c r="I104" s="113"/>
      <c r="J104" s="117">
        <f aca="true" t="shared" si="11" ref="J104:J113">C104+G104</f>
        <v>31741.9</v>
      </c>
      <c r="K104" s="24"/>
      <c r="L104" s="25"/>
    </row>
    <row r="105" spans="1:11" s="18" customFormat="1" ht="82.5" customHeight="1">
      <c r="A105" s="114" t="s">
        <v>291</v>
      </c>
      <c r="B105" s="166" t="s">
        <v>88</v>
      </c>
      <c r="C105" s="26">
        <f t="shared" si="10"/>
        <v>0</v>
      </c>
      <c r="D105" s="26"/>
      <c r="E105" s="26"/>
      <c r="F105" s="113"/>
      <c r="G105" s="43"/>
      <c r="H105" s="43"/>
      <c r="I105" s="26"/>
      <c r="J105" s="59">
        <f t="shared" si="11"/>
        <v>0</v>
      </c>
      <c r="K105" s="19"/>
    </row>
    <row r="106" spans="1:11" s="18" customFormat="1" ht="76.5">
      <c r="A106" s="64" t="s">
        <v>229</v>
      </c>
      <c r="B106" s="45" t="s">
        <v>315</v>
      </c>
      <c r="C106" s="26">
        <f t="shared" si="10"/>
        <v>28237.4</v>
      </c>
      <c r="D106" s="26"/>
      <c r="E106" s="26"/>
      <c r="F106" s="26">
        <v>28237.4</v>
      </c>
      <c r="G106" s="26"/>
      <c r="H106" s="26"/>
      <c r="I106" s="26"/>
      <c r="J106" s="59">
        <f t="shared" si="11"/>
        <v>28237.4</v>
      </c>
      <c r="K106" s="19"/>
    </row>
    <row r="107" spans="1:11" s="18" customFormat="1" ht="41.25" customHeight="1">
      <c r="A107" s="343" t="s">
        <v>61</v>
      </c>
      <c r="B107" s="65" t="s">
        <v>115</v>
      </c>
      <c r="C107" s="26">
        <f t="shared" si="10"/>
        <v>0</v>
      </c>
      <c r="D107" s="26"/>
      <c r="E107" s="26"/>
      <c r="F107" s="26">
        <f>F109</f>
        <v>0</v>
      </c>
      <c r="G107" s="26">
        <f>G109+G108</f>
        <v>2862.6</v>
      </c>
      <c r="H107" s="26"/>
      <c r="I107" s="26"/>
      <c r="J107" s="59">
        <f t="shared" si="11"/>
        <v>2862.6</v>
      </c>
      <c r="K107" s="19"/>
    </row>
    <row r="108" spans="1:11" s="18" customFormat="1" ht="17.25" customHeight="1">
      <c r="A108" s="344"/>
      <c r="B108" s="65" t="s">
        <v>316</v>
      </c>
      <c r="C108" s="26"/>
      <c r="D108" s="26"/>
      <c r="E108" s="26"/>
      <c r="F108" s="26"/>
      <c r="G108" s="26">
        <v>1000</v>
      </c>
      <c r="H108" s="26"/>
      <c r="I108" s="26"/>
      <c r="J108" s="59">
        <f t="shared" si="11"/>
        <v>1000</v>
      </c>
      <c r="K108" s="19"/>
    </row>
    <row r="109" spans="1:11" s="18" customFormat="1" ht="41.25" customHeight="1">
      <c r="A109" s="344"/>
      <c r="B109" s="65" t="s">
        <v>302</v>
      </c>
      <c r="C109" s="134">
        <f t="shared" si="10"/>
        <v>0</v>
      </c>
      <c r="D109" s="26"/>
      <c r="E109" s="26"/>
      <c r="F109" s="26"/>
      <c r="G109" s="26">
        <v>1862.6</v>
      </c>
      <c r="H109" s="26"/>
      <c r="I109" s="26"/>
      <c r="J109" s="67">
        <f t="shared" si="11"/>
        <v>1862.6</v>
      </c>
      <c r="K109" s="19"/>
    </row>
    <row r="110" spans="1:11" s="18" customFormat="1" ht="83.25" customHeight="1">
      <c r="A110" s="64" t="s">
        <v>292</v>
      </c>
      <c r="B110" s="65" t="s">
        <v>277</v>
      </c>
      <c r="C110" s="26">
        <f t="shared" si="10"/>
        <v>8611.6</v>
      </c>
      <c r="D110" s="26"/>
      <c r="E110" s="26"/>
      <c r="F110" s="26">
        <v>8611.6</v>
      </c>
      <c r="G110" s="26"/>
      <c r="H110" s="26"/>
      <c r="I110" s="26"/>
      <c r="J110" s="59">
        <f t="shared" si="11"/>
        <v>8611.6</v>
      </c>
      <c r="K110" s="19"/>
    </row>
    <row r="111" spans="1:12" s="18" customFormat="1" ht="15.75" customHeight="1">
      <c r="A111" s="64" t="s">
        <v>65</v>
      </c>
      <c r="B111" s="65" t="s">
        <v>36</v>
      </c>
      <c r="C111" s="26">
        <f t="shared" si="10"/>
        <v>10000</v>
      </c>
      <c r="D111" s="26"/>
      <c r="E111" s="26"/>
      <c r="F111" s="26">
        <v>10000</v>
      </c>
      <c r="G111" s="26"/>
      <c r="H111" s="26"/>
      <c r="I111" s="26"/>
      <c r="J111" s="67">
        <f t="shared" si="11"/>
        <v>10000</v>
      </c>
      <c r="K111" s="24"/>
      <c r="L111" s="179"/>
    </row>
    <row r="112" spans="1:11" s="18" customFormat="1" ht="60" customHeight="1">
      <c r="A112" s="64" t="s">
        <v>230</v>
      </c>
      <c r="B112" s="65" t="s">
        <v>72</v>
      </c>
      <c r="C112" s="26">
        <f t="shared" si="10"/>
        <v>300</v>
      </c>
      <c r="D112" s="26"/>
      <c r="E112" s="26"/>
      <c r="F112" s="299">
        <v>300</v>
      </c>
      <c r="G112" s="26"/>
      <c r="H112" s="26"/>
      <c r="I112" s="26"/>
      <c r="J112" s="67">
        <f t="shared" si="11"/>
        <v>300</v>
      </c>
      <c r="K112" s="24"/>
    </row>
    <row r="113" spans="1:11" s="18" customFormat="1" ht="107.25" customHeight="1">
      <c r="A113" s="64" t="s">
        <v>320</v>
      </c>
      <c r="B113" s="65" t="s">
        <v>318</v>
      </c>
      <c r="C113" s="188"/>
      <c r="D113" s="188"/>
      <c r="E113" s="188"/>
      <c r="F113" s="188"/>
      <c r="G113" s="188">
        <v>47709</v>
      </c>
      <c r="H113" s="188"/>
      <c r="I113" s="188"/>
      <c r="J113" s="67">
        <f t="shared" si="11"/>
        <v>47709</v>
      </c>
      <c r="K113" s="24"/>
    </row>
    <row r="114" spans="1:58" s="18" customFormat="1" ht="21" customHeight="1" thickBot="1">
      <c r="A114" s="345" t="s">
        <v>258</v>
      </c>
      <c r="B114" s="346"/>
      <c r="C114" s="87">
        <f aca="true" t="shared" si="12" ref="C114:H114">C15+C24+C30+C37+C46+C61+C73+C77+C92+C70+C86+C89+C56</f>
        <v>3625294.0999999996</v>
      </c>
      <c r="D114" s="87">
        <f t="shared" si="12"/>
        <v>595245.8999999999</v>
      </c>
      <c r="E114" s="87">
        <f t="shared" si="12"/>
        <v>157188.60000000003</v>
      </c>
      <c r="F114" s="87">
        <f t="shared" si="12"/>
        <v>2872859.5999999996</v>
      </c>
      <c r="G114" s="87">
        <f t="shared" si="12"/>
        <v>796036.1000000001</v>
      </c>
      <c r="H114" s="87">
        <f t="shared" si="12"/>
        <v>49728.6</v>
      </c>
      <c r="I114" s="87" t="e">
        <f>I15+I24+I30+I37+I46+I61+I73+I77+I92+I70+#REF!+I86+#REF!+I89+#REF!+I56</f>
        <v>#REF!</v>
      </c>
      <c r="J114" s="87">
        <f>J15+J24+J30+J37+J46+J61+J73+J77+J92+J70+J86+J89+J56</f>
        <v>4421330.2</v>
      </c>
      <c r="K114" s="82"/>
      <c r="L114" s="82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s="7" customFormat="1" ht="12.75">
      <c r="A115" s="88"/>
      <c r="B115" s="89"/>
      <c r="C115" s="139">
        <f>'№2'!C83</f>
        <v>3625294.099999999</v>
      </c>
      <c r="D115" s="139">
        <f>'№2'!D83</f>
        <v>595245.9</v>
      </c>
      <c r="E115" s="139">
        <f>'№2'!E83</f>
        <v>157188.59999999998</v>
      </c>
      <c r="F115" s="139">
        <f>'№2'!F83</f>
        <v>2872859.599999999</v>
      </c>
      <c r="G115" s="139">
        <f>'№2'!G83</f>
        <v>796036.1</v>
      </c>
      <c r="H115" s="139">
        <f>'№2'!H83</f>
        <v>49728.6</v>
      </c>
      <c r="I115" s="139" t="e">
        <f>'№2'!I83</f>
        <v>#REF!</v>
      </c>
      <c r="J115" s="139">
        <f>'№2'!J83</f>
        <v>4421330.199999999</v>
      </c>
      <c r="K115" s="189" t="s">
        <v>303</v>
      </c>
      <c r="L115" s="12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</row>
    <row r="116" spans="3:12" ht="12.75">
      <c r="C116" s="179">
        <f>C115-C114</f>
        <v>0</v>
      </c>
      <c r="D116" s="179">
        <f aca="true" t="shared" si="13" ref="D116:I116">D115-D114</f>
        <v>0</v>
      </c>
      <c r="E116" s="179">
        <f t="shared" si="13"/>
        <v>0</v>
      </c>
      <c r="F116" s="179">
        <f t="shared" si="13"/>
        <v>0</v>
      </c>
      <c r="G116" s="179">
        <f t="shared" si="13"/>
        <v>0</v>
      </c>
      <c r="H116" s="179">
        <f t="shared" si="13"/>
        <v>0</v>
      </c>
      <c r="I116" s="179" t="e">
        <f t="shared" si="13"/>
        <v>#REF!</v>
      </c>
      <c r="J116" s="179">
        <f>J115-J114</f>
        <v>0</v>
      </c>
      <c r="K116" s="190"/>
      <c r="L116" s="129"/>
    </row>
    <row r="117" spans="3:11" ht="12.75">
      <c r="C117" s="28"/>
      <c r="D117" s="28"/>
      <c r="E117" s="28"/>
      <c r="F117" s="28"/>
      <c r="G117" s="28"/>
      <c r="H117" s="28"/>
      <c r="I117" s="28"/>
      <c r="J117" s="28"/>
      <c r="K117" s="3"/>
    </row>
    <row r="118" spans="2:10" ht="12.75">
      <c r="B118" s="122"/>
      <c r="C118" s="28"/>
      <c r="D118" s="28"/>
      <c r="E118" s="28"/>
      <c r="F118" s="28"/>
      <c r="G118" s="28"/>
      <c r="H118" s="28"/>
      <c r="I118" s="28"/>
      <c r="J118" s="28"/>
    </row>
    <row r="119" spans="3:10" ht="15">
      <c r="C119" s="302">
        <f>D119+E119+F119</f>
        <v>3625294.1</v>
      </c>
      <c r="D119" s="301">
        <v>595245.9</v>
      </c>
      <c r="E119" s="301">
        <v>157188.6</v>
      </c>
      <c r="F119" s="301">
        <v>2872859.6</v>
      </c>
      <c r="G119" s="301">
        <v>796036.1</v>
      </c>
      <c r="H119" s="301">
        <v>49728.6</v>
      </c>
      <c r="I119" s="301"/>
      <c r="J119" s="301">
        <v>4421330.2</v>
      </c>
    </row>
    <row r="120" spans="3:10" ht="12.75">
      <c r="C120" s="39"/>
      <c r="D120" s="39"/>
      <c r="E120" s="39"/>
      <c r="F120" s="39"/>
      <c r="G120" s="39"/>
      <c r="H120" s="39"/>
      <c r="I120" s="39"/>
      <c r="J120" s="39"/>
    </row>
    <row r="121" spans="3:10" ht="12.75">
      <c r="C121" s="37">
        <f>C115-C119</f>
        <v>0</v>
      </c>
      <c r="D121" s="37">
        <f aca="true" t="shared" si="14" ref="D121:J121">D115-D119</f>
        <v>0</v>
      </c>
      <c r="E121" s="37">
        <f t="shared" si="14"/>
        <v>0</v>
      </c>
      <c r="F121" s="37">
        <f t="shared" si="14"/>
        <v>0</v>
      </c>
      <c r="G121" s="37">
        <f t="shared" si="14"/>
        <v>0</v>
      </c>
      <c r="H121" s="37">
        <f t="shared" si="14"/>
        <v>0</v>
      </c>
      <c r="I121" s="37" t="e">
        <f t="shared" si="14"/>
        <v>#REF!</v>
      </c>
      <c r="J121" s="37">
        <f t="shared" si="14"/>
        <v>0</v>
      </c>
    </row>
    <row r="122" spans="2:11" ht="12.75">
      <c r="B122" s="122"/>
      <c r="C122" s="79"/>
      <c r="D122" s="79"/>
      <c r="E122" s="79"/>
      <c r="F122" s="79"/>
      <c r="G122" s="79"/>
      <c r="H122" s="79"/>
      <c r="I122" s="79"/>
      <c r="J122" s="79"/>
      <c r="K122" s="83"/>
    </row>
    <row r="123" spans="3:11" ht="12.75">
      <c r="C123" s="83"/>
      <c r="D123" s="28"/>
      <c r="E123" s="28"/>
      <c r="F123" s="28"/>
      <c r="G123" s="28"/>
      <c r="H123" s="28"/>
      <c r="I123" s="28"/>
      <c r="J123" s="28"/>
      <c r="K123" s="83"/>
    </row>
    <row r="124" spans="3:10" ht="12.75">
      <c r="C124" s="37"/>
      <c r="D124" s="37"/>
      <c r="E124" s="37"/>
      <c r="F124" s="37"/>
      <c r="G124" s="37"/>
      <c r="H124" s="37"/>
      <c r="I124" s="37"/>
      <c r="J124" s="37"/>
    </row>
    <row r="125" ht="12.75">
      <c r="C125" s="31"/>
    </row>
    <row r="126" spans="2:10" ht="12.75">
      <c r="B126" s="122"/>
      <c r="C126" s="37"/>
      <c r="F126" s="29"/>
      <c r="J126" s="28"/>
    </row>
    <row r="127" ht="12.75">
      <c r="C127" s="37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</sheetData>
  <autoFilter ref="A14:BF116"/>
  <mergeCells count="16">
    <mergeCell ref="F6:H6"/>
    <mergeCell ref="G12:G13"/>
    <mergeCell ref="D12:F12"/>
    <mergeCell ref="A11:A13"/>
    <mergeCell ref="B11:B13"/>
    <mergeCell ref="C11:F11"/>
    <mergeCell ref="A107:A109"/>
    <mergeCell ref="A114:B114"/>
    <mergeCell ref="F1:J1"/>
    <mergeCell ref="G11:I11"/>
    <mergeCell ref="A9:J9"/>
    <mergeCell ref="G10:J10"/>
    <mergeCell ref="A8:J8"/>
    <mergeCell ref="I12:I13"/>
    <mergeCell ref="J11:J13"/>
    <mergeCell ref="C12:C13"/>
  </mergeCells>
  <printOptions/>
  <pageMargins left="0.984251968503937" right="0.5905511811023623" top="0.7874015748031497" bottom="0.7874015748031497" header="0" footer="0"/>
  <pageSetup fitToHeight="4" fitToWidth="1" horizontalDpi="600" verticalDpi="600" orientation="portrait" paperSize="9" scale="60" r:id="rId1"/>
  <rowBreaks count="3" manualBreakCount="3">
    <brk id="38" max="9" man="1"/>
    <brk id="72" max="9" man="1"/>
    <brk id="1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5"/>
  <sheetViews>
    <sheetView view="pageBreakPreview" zoomScale="60" zoomScaleNormal="75" workbookViewId="0" topLeftCell="C1">
      <selection activeCell="M4" sqref="M4"/>
    </sheetView>
  </sheetViews>
  <sheetFormatPr defaultColWidth="9.00390625" defaultRowHeight="12.75"/>
  <cols>
    <col min="1" max="1" width="28.00390625" style="3" customWidth="1"/>
    <col min="2" max="3" width="19.00390625" style="3" customWidth="1"/>
    <col min="4" max="4" width="19.75390625" style="3" customWidth="1"/>
    <col min="5" max="5" width="32.125" style="3" customWidth="1"/>
    <col min="6" max="6" width="18.375" style="3" customWidth="1"/>
    <col min="7" max="7" width="16.25390625" style="3" customWidth="1"/>
    <col min="8" max="8" width="11.75390625" style="3" customWidth="1"/>
    <col min="9" max="9" width="12.75390625" style="3" customWidth="1"/>
    <col min="10" max="10" width="12.125" style="3" customWidth="1"/>
    <col min="11" max="11" width="28.125" style="3" customWidth="1"/>
    <col min="12" max="12" width="27.25390625" style="3" customWidth="1"/>
    <col min="13" max="13" width="26.125" style="3" customWidth="1"/>
    <col min="14" max="14" width="15.75390625" style="3" customWidth="1"/>
    <col min="15" max="15" width="22.00390625" style="3" customWidth="1"/>
    <col min="16" max="16" width="36.25390625" style="3" customWidth="1"/>
    <col min="17" max="17" width="38.75390625" style="3" customWidth="1"/>
    <col min="18" max="18" width="19.25390625" style="3" customWidth="1"/>
    <col min="19" max="19" width="14.75390625" style="197" customWidth="1"/>
    <col min="20" max="20" width="14.125" style="3" customWidth="1"/>
    <col min="21" max="21" width="7.875" style="3" customWidth="1"/>
    <col min="22" max="22" width="15.375" style="3" customWidth="1"/>
    <col min="23" max="16384" width="7.875" style="3" customWidth="1"/>
  </cols>
  <sheetData>
    <row r="1" ht="15.75">
      <c r="M1" s="304" t="s">
        <v>118</v>
      </c>
    </row>
    <row r="2" ht="15.75">
      <c r="M2" s="214" t="s">
        <v>203</v>
      </c>
    </row>
    <row r="3" ht="9" customHeight="1">
      <c r="M3" s="191"/>
    </row>
    <row r="4" spans="2:18" ht="42.75" customHeight="1">
      <c r="B4" s="370" t="s">
        <v>353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97" t="s">
        <v>359</v>
      </c>
      <c r="N4" s="198"/>
      <c r="O4" s="198"/>
      <c r="P4" s="198"/>
      <c r="Q4" s="198"/>
      <c r="R4" s="198"/>
    </row>
    <row r="5" spans="1:19" ht="12.75" customHeight="1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L5" s="200"/>
      <c r="N5" s="199" t="s">
        <v>37</v>
      </c>
      <c r="O5" s="199"/>
      <c r="P5" s="199"/>
      <c r="Q5" s="199"/>
      <c r="R5" s="199"/>
      <c r="S5" s="200" t="s">
        <v>37</v>
      </c>
    </row>
    <row r="6" spans="1:19" s="307" customFormat="1" ht="21" customHeight="1" thickBot="1">
      <c r="A6" s="371" t="s">
        <v>119</v>
      </c>
      <c r="B6" s="372" t="s">
        <v>120</v>
      </c>
      <c r="C6" s="373"/>
      <c r="D6" s="373"/>
      <c r="E6" s="373"/>
      <c r="F6" s="373"/>
      <c r="G6" s="373"/>
      <c r="H6" s="373"/>
      <c r="I6" s="373"/>
      <c r="J6" s="373"/>
      <c r="K6" s="373"/>
      <c r="L6" s="374"/>
      <c r="M6" s="374"/>
      <c r="N6" s="374"/>
      <c r="O6" s="367" t="s">
        <v>121</v>
      </c>
      <c r="P6" s="368"/>
      <c r="Q6" s="369"/>
      <c r="R6" s="359" t="s">
        <v>70</v>
      </c>
      <c r="S6" s="362" t="s">
        <v>122</v>
      </c>
    </row>
    <row r="7" spans="1:19" s="307" customFormat="1" ht="19.5" customHeight="1" thickBot="1">
      <c r="A7" s="365"/>
      <c r="B7" s="357" t="s">
        <v>123</v>
      </c>
      <c r="C7" s="357" t="s">
        <v>66</v>
      </c>
      <c r="D7" s="359" t="s">
        <v>124</v>
      </c>
      <c r="E7" s="357" t="s">
        <v>125</v>
      </c>
      <c r="F7" s="375" t="s">
        <v>212</v>
      </c>
      <c r="G7" s="376"/>
      <c r="H7" s="376"/>
      <c r="I7" s="376"/>
      <c r="J7" s="376"/>
      <c r="K7" s="377"/>
      <c r="L7" s="357" t="s">
        <v>67</v>
      </c>
      <c r="M7" s="357" t="s">
        <v>126</v>
      </c>
      <c r="N7" s="357" t="s">
        <v>69</v>
      </c>
      <c r="O7" s="357" t="s">
        <v>66</v>
      </c>
      <c r="P7" s="357" t="s">
        <v>68</v>
      </c>
      <c r="Q7" s="365" t="s">
        <v>323</v>
      </c>
      <c r="R7" s="357"/>
      <c r="S7" s="363"/>
    </row>
    <row r="8" spans="1:19" s="307" customFormat="1" ht="81.75" customHeight="1" thickBot="1">
      <c r="A8" s="365"/>
      <c r="B8" s="357"/>
      <c r="C8" s="357"/>
      <c r="D8" s="357"/>
      <c r="E8" s="357"/>
      <c r="F8" s="359" t="s">
        <v>127</v>
      </c>
      <c r="G8" s="359" t="s">
        <v>128</v>
      </c>
      <c r="H8" s="359" t="s">
        <v>129</v>
      </c>
      <c r="I8" s="360" t="s">
        <v>130</v>
      </c>
      <c r="J8" s="361"/>
      <c r="K8" s="359" t="s">
        <v>131</v>
      </c>
      <c r="L8" s="357"/>
      <c r="M8" s="357"/>
      <c r="N8" s="357"/>
      <c r="O8" s="357"/>
      <c r="P8" s="357"/>
      <c r="Q8" s="365"/>
      <c r="R8" s="357"/>
      <c r="S8" s="363"/>
    </row>
    <row r="9" spans="1:19" s="307" customFormat="1" ht="119.25" customHeight="1" thickBot="1">
      <c r="A9" s="366"/>
      <c r="B9" s="358"/>
      <c r="C9" s="358"/>
      <c r="D9" s="358"/>
      <c r="E9" s="358"/>
      <c r="F9" s="358"/>
      <c r="G9" s="358"/>
      <c r="H9" s="358"/>
      <c r="I9" s="306" t="s">
        <v>132</v>
      </c>
      <c r="J9" s="306" t="s">
        <v>133</v>
      </c>
      <c r="K9" s="358"/>
      <c r="L9" s="358"/>
      <c r="M9" s="358"/>
      <c r="N9" s="358"/>
      <c r="O9" s="358"/>
      <c r="P9" s="358"/>
      <c r="Q9" s="366"/>
      <c r="R9" s="358"/>
      <c r="S9" s="364"/>
    </row>
    <row r="10" spans="1:21" s="201" customFormat="1" ht="15" customHeight="1">
      <c r="A10" s="202" t="s">
        <v>134</v>
      </c>
      <c r="B10" s="203">
        <v>10303.6</v>
      </c>
      <c r="C10" s="204">
        <v>1096.5</v>
      </c>
      <c r="D10" s="289">
        <v>308</v>
      </c>
      <c r="E10" s="290">
        <v>1556.2</v>
      </c>
      <c r="F10" s="289">
        <v>1365.1</v>
      </c>
      <c r="G10" s="205"/>
      <c r="H10" s="289">
        <v>168.8</v>
      </c>
      <c r="I10" s="205"/>
      <c r="J10" s="205"/>
      <c r="K10" s="290">
        <v>22.3</v>
      </c>
      <c r="L10" s="206">
        <v>82.8</v>
      </c>
      <c r="M10" s="206">
        <v>126.6</v>
      </c>
      <c r="N10" s="205"/>
      <c r="O10" s="293">
        <v>1693.8</v>
      </c>
      <c r="P10" s="205"/>
      <c r="Q10" s="205"/>
      <c r="R10" s="205"/>
      <c r="S10" s="207">
        <f>B10+C10+D10+E10+L10+M10+N10+O10+P10+Q10+R10</f>
        <v>15167.5</v>
      </c>
      <c r="U10" s="288"/>
    </row>
    <row r="11" spans="1:38" s="214" customFormat="1" ht="15.75" customHeight="1">
      <c r="A11" s="208" t="s">
        <v>135</v>
      </c>
      <c r="B11" s="203">
        <v>37658.9</v>
      </c>
      <c r="C11" s="209">
        <v>10771.2</v>
      </c>
      <c r="D11" s="210">
        <v>506.1</v>
      </c>
      <c r="E11" s="204">
        <v>5095</v>
      </c>
      <c r="F11" s="204">
        <v>4325.6</v>
      </c>
      <c r="G11" s="204"/>
      <c r="H11" s="204">
        <v>679.5</v>
      </c>
      <c r="I11" s="211"/>
      <c r="J11" s="204"/>
      <c r="K11" s="204">
        <v>89.9</v>
      </c>
      <c r="L11" s="212">
        <v>144</v>
      </c>
      <c r="M11" s="212">
        <v>238.5</v>
      </c>
      <c r="N11" s="204"/>
      <c r="O11" s="204">
        <v>16637.7</v>
      </c>
      <c r="P11" s="204"/>
      <c r="Q11" s="204"/>
      <c r="R11" s="204"/>
      <c r="S11" s="207">
        <f aca="true" t="shared" si="0" ref="S11:S55">B11+C11+D11+E11+L11+M11+N11+O11+P11+Q11+R11</f>
        <v>71051.40000000001</v>
      </c>
      <c r="T11" s="213"/>
      <c r="U11" s="288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</row>
    <row r="12" spans="1:38" s="214" customFormat="1" ht="15.75" customHeight="1">
      <c r="A12" s="208" t="s">
        <v>136</v>
      </c>
      <c r="B12" s="203">
        <v>92528.4</v>
      </c>
      <c r="C12" s="204">
        <v>23440</v>
      </c>
      <c r="D12" s="210">
        <v>1055.3</v>
      </c>
      <c r="E12" s="204">
        <v>5755.8</v>
      </c>
      <c r="F12" s="204">
        <v>4703.6</v>
      </c>
      <c r="G12" s="204"/>
      <c r="H12" s="204">
        <v>821.5</v>
      </c>
      <c r="I12" s="211"/>
      <c r="J12" s="204"/>
      <c r="K12" s="204">
        <v>230.7</v>
      </c>
      <c r="L12" s="212">
        <v>348</v>
      </c>
      <c r="M12" s="212">
        <v>1022.9</v>
      </c>
      <c r="N12" s="204"/>
      <c r="O12" s="204">
        <v>36206.3</v>
      </c>
      <c r="P12" s="204"/>
      <c r="Q12" s="204"/>
      <c r="R12" s="204"/>
      <c r="S12" s="207">
        <f t="shared" si="0"/>
        <v>160356.7</v>
      </c>
      <c r="T12" s="213"/>
      <c r="U12" s="288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</row>
    <row r="13" spans="1:38" s="214" customFormat="1" ht="15.75" customHeight="1">
      <c r="A13" s="208" t="s">
        <v>137</v>
      </c>
      <c r="B13" s="203">
        <v>15103.4</v>
      </c>
      <c r="C13" s="204">
        <v>3279.1</v>
      </c>
      <c r="D13" s="210">
        <v>866.1</v>
      </c>
      <c r="E13" s="204">
        <v>626.6</v>
      </c>
      <c r="F13" s="204">
        <v>70</v>
      </c>
      <c r="G13" s="204">
        <v>222.1</v>
      </c>
      <c r="H13" s="204">
        <v>190.2</v>
      </c>
      <c r="I13" s="211"/>
      <c r="J13" s="204">
        <v>111.9</v>
      </c>
      <c r="K13" s="204">
        <v>32.4</v>
      </c>
      <c r="L13" s="212">
        <v>50.4</v>
      </c>
      <c r="M13" s="212">
        <v>310.1</v>
      </c>
      <c r="N13" s="204"/>
      <c r="O13" s="204">
        <v>5065</v>
      </c>
      <c r="P13" s="204"/>
      <c r="Q13" s="204"/>
      <c r="R13" s="204"/>
      <c r="S13" s="207">
        <f t="shared" si="0"/>
        <v>25300.699999999997</v>
      </c>
      <c r="T13" s="213"/>
      <c r="U13" s="288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</row>
    <row r="14" spans="1:38" s="214" customFormat="1" ht="15.75" customHeight="1">
      <c r="A14" s="208" t="s">
        <v>138</v>
      </c>
      <c r="B14" s="203">
        <v>24933.5</v>
      </c>
      <c r="C14" s="204">
        <v>4566</v>
      </c>
      <c r="D14" s="210">
        <v>247</v>
      </c>
      <c r="E14" s="204">
        <v>1213.9</v>
      </c>
      <c r="F14" s="204">
        <v>1018.2</v>
      </c>
      <c r="G14" s="204"/>
      <c r="H14" s="204">
        <v>156.6</v>
      </c>
      <c r="I14" s="211"/>
      <c r="J14" s="204"/>
      <c r="K14" s="204">
        <v>39.1</v>
      </c>
      <c r="L14" s="212">
        <v>74.4</v>
      </c>
      <c r="M14" s="212">
        <v>88.7</v>
      </c>
      <c r="N14" s="204"/>
      <c r="O14" s="204">
        <v>7052.8</v>
      </c>
      <c r="P14" s="204"/>
      <c r="Q14" s="204"/>
      <c r="R14" s="204"/>
      <c r="S14" s="207">
        <f t="shared" si="0"/>
        <v>38176.3</v>
      </c>
      <c r="T14" s="213"/>
      <c r="U14" s="288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</row>
    <row r="15" spans="1:38" s="214" customFormat="1" ht="15.75" customHeight="1">
      <c r="A15" s="208" t="s">
        <v>139</v>
      </c>
      <c r="B15" s="203">
        <v>16140</v>
      </c>
      <c r="C15" s="204">
        <v>3133</v>
      </c>
      <c r="D15" s="210">
        <v>136.2</v>
      </c>
      <c r="E15" s="204">
        <v>414.9</v>
      </c>
      <c r="F15" s="204">
        <v>168.2</v>
      </c>
      <c r="G15" s="204"/>
      <c r="H15" s="204">
        <v>102.1</v>
      </c>
      <c r="I15" s="211"/>
      <c r="J15" s="204"/>
      <c r="K15" s="204">
        <v>144.6</v>
      </c>
      <c r="L15" s="212">
        <v>88.8</v>
      </c>
      <c r="M15" s="212">
        <v>326.7</v>
      </c>
      <c r="N15" s="204"/>
      <c r="O15" s="204">
        <v>4839.4</v>
      </c>
      <c r="P15" s="204"/>
      <c r="Q15" s="204"/>
      <c r="R15" s="204"/>
      <c r="S15" s="207">
        <f t="shared" si="0"/>
        <v>25079</v>
      </c>
      <c r="T15" s="213"/>
      <c r="U15" s="288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</row>
    <row r="16" spans="1:38" s="214" customFormat="1" ht="15.75" customHeight="1">
      <c r="A16" s="208" t="s">
        <v>140</v>
      </c>
      <c r="B16" s="203">
        <v>19091.6</v>
      </c>
      <c r="C16" s="204">
        <v>2456.4</v>
      </c>
      <c r="D16" s="210">
        <v>137.4</v>
      </c>
      <c r="E16" s="204">
        <v>440.4</v>
      </c>
      <c r="F16" s="204">
        <v>250.8</v>
      </c>
      <c r="G16" s="204"/>
      <c r="H16" s="204">
        <v>155.7</v>
      </c>
      <c r="I16" s="211"/>
      <c r="J16" s="204"/>
      <c r="K16" s="204">
        <v>33.9</v>
      </c>
      <c r="L16" s="212">
        <v>44.4</v>
      </c>
      <c r="M16" s="212">
        <v>546.3</v>
      </c>
      <c r="N16" s="204"/>
      <c r="O16" s="204">
        <v>3794.2</v>
      </c>
      <c r="P16" s="204"/>
      <c r="Q16" s="204"/>
      <c r="R16" s="204"/>
      <c r="S16" s="207">
        <f t="shared" si="0"/>
        <v>26510.700000000004</v>
      </c>
      <c r="T16" s="213"/>
      <c r="U16" s="288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</row>
    <row r="17" spans="1:38" s="214" customFormat="1" ht="15.75" customHeight="1">
      <c r="A17" s="208" t="s">
        <v>141</v>
      </c>
      <c r="B17" s="203">
        <v>7350.4</v>
      </c>
      <c r="C17" s="204">
        <v>2873.5</v>
      </c>
      <c r="D17" s="210">
        <v>7</v>
      </c>
      <c r="E17" s="204">
        <v>267.3</v>
      </c>
      <c r="F17" s="204">
        <v>139.8</v>
      </c>
      <c r="G17" s="204"/>
      <c r="H17" s="204">
        <v>115.2</v>
      </c>
      <c r="I17" s="211"/>
      <c r="J17" s="204"/>
      <c r="K17" s="204">
        <v>12.3</v>
      </c>
      <c r="L17" s="212">
        <v>144</v>
      </c>
      <c r="M17" s="212">
        <v>58.7</v>
      </c>
      <c r="N17" s="204"/>
      <c r="O17" s="204">
        <v>4438.6</v>
      </c>
      <c r="P17" s="204"/>
      <c r="Q17" s="204"/>
      <c r="R17" s="204"/>
      <c r="S17" s="207">
        <f t="shared" si="0"/>
        <v>15139.5</v>
      </c>
      <c r="T17" s="213"/>
      <c r="U17" s="288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</row>
    <row r="18" spans="1:38" s="214" customFormat="1" ht="15.75" customHeight="1">
      <c r="A18" s="215" t="s">
        <v>142</v>
      </c>
      <c r="B18" s="203">
        <v>241067.9</v>
      </c>
      <c r="C18" s="204">
        <v>54916.8</v>
      </c>
      <c r="D18" s="210">
        <v>3520.6</v>
      </c>
      <c r="E18" s="204">
        <v>62186.4</v>
      </c>
      <c r="F18" s="204">
        <v>57551.3</v>
      </c>
      <c r="G18" s="204"/>
      <c r="H18" s="204">
        <v>3608.9</v>
      </c>
      <c r="I18" s="211">
        <v>266.2</v>
      </c>
      <c r="J18" s="204"/>
      <c r="K18" s="204">
        <v>760</v>
      </c>
      <c r="L18" s="212">
        <v>986.4</v>
      </c>
      <c r="M18" s="212">
        <v>1770.7</v>
      </c>
      <c r="N18" s="204"/>
      <c r="O18" s="204">
        <v>84826.8</v>
      </c>
      <c r="P18" s="204"/>
      <c r="Q18" s="204"/>
      <c r="R18" s="204"/>
      <c r="S18" s="207">
        <f t="shared" si="0"/>
        <v>449275.60000000003</v>
      </c>
      <c r="T18" s="213"/>
      <c r="U18" s="288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</row>
    <row r="19" spans="1:38" s="214" customFormat="1" ht="15.75" customHeight="1">
      <c r="A19" s="208" t="s">
        <v>143</v>
      </c>
      <c r="B19" s="203">
        <v>22862.7</v>
      </c>
      <c r="C19" s="204">
        <v>7193.5</v>
      </c>
      <c r="D19" s="210">
        <v>234.5</v>
      </c>
      <c r="E19" s="204">
        <v>3017</v>
      </c>
      <c r="F19" s="204">
        <v>2647.3</v>
      </c>
      <c r="G19" s="204"/>
      <c r="H19" s="204">
        <v>268.1</v>
      </c>
      <c r="I19" s="211"/>
      <c r="J19" s="204"/>
      <c r="K19" s="204">
        <v>101.6</v>
      </c>
      <c r="L19" s="212">
        <v>320.4</v>
      </c>
      <c r="M19" s="212">
        <v>374.7</v>
      </c>
      <c r="N19" s="204"/>
      <c r="O19" s="204">
        <v>11111.4</v>
      </c>
      <c r="P19" s="204"/>
      <c r="Q19" s="204"/>
      <c r="R19" s="204"/>
      <c r="S19" s="207">
        <f t="shared" si="0"/>
        <v>45114.2</v>
      </c>
      <c r="T19" s="213"/>
      <c r="U19" s="288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</row>
    <row r="20" spans="1:38" s="214" customFormat="1" ht="15.75" customHeight="1">
      <c r="A20" s="208" t="s">
        <v>144</v>
      </c>
      <c r="B20" s="203">
        <v>44597.7</v>
      </c>
      <c r="C20" s="204">
        <v>14307.5</v>
      </c>
      <c r="D20" s="210">
        <v>922.4</v>
      </c>
      <c r="E20" s="204">
        <v>6038.9</v>
      </c>
      <c r="F20" s="204">
        <v>5496.3</v>
      </c>
      <c r="G20" s="204"/>
      <c r="H20" s="204">
        <v>475.8</v>
      </c>
      <c r="I20" s="211"/>
      <c r="J20" s="204"/>
      <c r="K20" s="204">
        <v>66.8</v>
      </c>
      <c r="L20" s="212">
        <v>331.2</v>
      </c>
      <c r="M20" s="212">
        <v>987.1</v>
      </c>
      <c r="N20" s="204"/>
      <c r="O20" s="204">
        <v>22100</v>
      </c>
      <c r="P20" s="204"/>
      <c r="Q20" s="204"/>
      <c r="R20" s="204"/>
      <c r="S20" s="207">
        <f t="shared" si="0"/>
        <v>89284.8</v>
      </c>
      <c r="T20" s="213"/>
      <c r="U20" s="288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</row>
    <row r="21" spans="1:38" s="214" customFormat="1" ht="15.75" customHeight="1">
      <c r="A21" s="208" t="s">
        <v>145</v>
      </c>
      <c r="B21" s="203">
        <v>3974.5</v>
      </c>
      <c r="C21" s="204">
        <v>757.5</v>
      </c>
      <c r="D21" s="210">
        <v>12.6</v>
      </c>
      <c r="E21" s="204">
        <v>96.2</v>
      </c>
      <c r="F21" s="204">
        <v>44.7</v>
      </c>
      <c r="G21" s="204"/>
      <c r="H21" s="204">
        <v>24.9</v>
      </c>
      <c r="I21" s="211"/>
      <c r="J21" s="204"/>
      <c r="K21" s="204">
        <v>26.6</v>
      </c>
      <c r="L21" s="212">
        <v>108</v>
      </c>
      <c r="M21" s="212">
        <v>102</v>
      </c>
      <c r="N21" s="204"/>
      <c r="O21" s="204">
        <v>1170</v>
      </c>
      <c r="P21" s="204"/>
      <c r="Q21" s="204"/>
      <c r="R21" s="204"/>
      <c r="S21" s="207">
        <f t="shared" si="0"/>
        <v>6220.8</v>
      </c>
      <c r="T21" s="213"/>
      <c r="U21" s="288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</row>
    <row r="22" spans="1:38" s="214" customFormat="1" ht="15.75" customHeight="1">
      <c r="A22" s="208" t="s">
        <v>146</v>
      </c>
      <c r="B22" s="203">
        <v>8396.2</v>
      </c>
      <c r="C22" s="204">
        <v>879.2</v>
      </c>
      <c r="D22" s="210">
        <v>44.7</v>
      </c>
      <c r="E22" s="204">
        <v>101.2</v>
      </c>
      <c r="F22" s="204">
        <v>0</v>
      </c>
      <c r="G22" s="204"/>
      <c r="H22" s="204">
        <v>61.8</v>
      </c>
      <c r="I22" s="211"/>
      <c r="J22" s="204"/>
      <c r="K22" s="204">
        <v>39.4</v>
      </c>
      <c r="L22" s="212">
        <v>120</v>
      </c>
      <c r="M22" s="212">
        <v>147.2</v>
      </c>
      <c r="N22" s="204">
        <v>200</v>
      </c>
      <c r="O22" s="204">
        <v>1358.1</v>
      </c>
      <c r="P22" s="204"/>
      <c r="Q22" s="204"/>
      <c r="R22" s="204"/>
      <c r="S22" s="207">
        <f t="shared" si="0"/>
        <v>11246.600000000004</v>
      </c>
      <c r="T22" s="213"/>
      <c r="U22" s="288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</row>
    <row r="23" spans="1:38" s="214" customFormat="1" ht="15.75" customHeight="1">
      <c r="A23" s="208" t="s">
        <v>147</v>
      </c>
      <c r="B23" s="203">
        <v>25864.3</v>
      </c>
      <c r="C23" s="204">
        <v>10321.3</v>
      </c>
      <c r="D23" s="210">
        <v>80.9</v>
      </c>
      <c r="E23" s="204">
        <v>1488.1</v>
      </c>
      <c r="F23" s="204">
        <v>1072.3</v>
      </c>
      <c r="G23" s="204"/>
      <c r="H23" s="204">
        <v>311.9</v>
      </c>
      <c r="I23" s="211"/>
      <c r="J23" s="204"/>
      <c r="K23" s="204">
        <v>103.9</v>
      </c>
      <c r="L23" s="212">
        <v>162</v>
      </c>
      <c r="M23" s="212">
        <v>88.5</v>
      </c>
      <c r="N23" s="204"/>
      <c r="O23" s="204">
        <v>15942.7</v>
      </c>
      <c r="P23" s="204"/>
      <c r="Q23" s="204"/>
      <c r="R23" s="204"/>
      <c r="S23" s="207">
        <f t="shared" si="0"/>
        <v>53947.8</v>
      </c>
      <c r="T23" s="213"/>
      <c r="U23" s="288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</row>
    <row r="24" spans="1:38" s="214" customFormat="1" ht="15.75" customHeight="1">
      <c r="A24" s="208" t="s">
        <v>148</v>
      </c>
      <c r="B24" s="203">
        <v>66926.3</v>
      </c>
      <c r="C24" s="40">
        <v>18585.2</v>
      </c>
      <c r="D24" s="210">
        <v>464.2</v>
      </c>
      <c r="E24" s="204">
        <v>16688.7</v>
      </c>
      <c r="F24" s="204">
        <v>15596.2</v>
      </c>
      <c r="G24" s="204"/>
      <c r="H24" s="204">
        <v>915.3</v>
      </c>
      <c r="I24" s="211"/>
      <c r="J24" s="204"/>
      <c r="K24" s="204">
        <v>177.2</v>
      </c>
      <c r="L24" s="212">
        <v>162</v>
      </c>
      <c r="M24" s="212">
        <v>1084.3</v>
      </c>
      <c r="N24" s="204"/>
      <c r="O24" s="204">
        <v>28707.5</v>
      </c>
      <c r="P24" s="204"/>
      <c r="Q24" s="204"/>
      <c r="R24" s="204"/>
      <c r="S24" s="207">
        <f t="shared" si="0"/>
        <v>132618.2</v>
      </c>
      <c r="T24" s="213"/>
      <c r="U24" s="288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</row>
    <row r="25" spans="1:38" s="214" customFormat="1" ht="15.75" customHeight="1">
      <c r="A25" s="208" t="s">
        <v>149</v>
      </c>
      <c r="B25" s="203">
        <v>22823.1</v>
      </c>
      <c r="C25" s="204">
        <v>3012.8</v>
      </c>
      <c r="D25" s="210">
        <v>451.8</v>
      </c>
      <c r="E25" s="204">
        <v>749.4</v>
      </c>
      <c r="F25" s="204">
        <v>393.1</v>
      </c>
      <c r="G25" s="204"/>
      <c r="H25" s="204">
        <v>298.6</v>
      </c>
      <c r="I25" s="211"/>
      <c r="J25" s="204"/>
      <c r="K25" s="204">
        <v>57.7</v>
      </c>
      <c r="L25" s="212">
        <v>120</v>
      </c>
      <c r="M25" s="212">
        <v>0</v>
      </c>
      <c r="N25" s="204"/>
      <c r="O25" s="204">
        <v>4653.7</v>
      </c>
      <c r="P25" s="204"/>
      <c r="Q25" s="204"/>
      <c r="R25" s="204"/>
      <c r="S25" s="207">
        <f t="shared" si="0"/>
        <v>31810.8</v>
      </c>
      <c r="T25" s="213"/>
      <c r="U25" s="288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</row>
    <row r="26" spans="1:38" s="214" customFormat="1" ht="15.75" customHeight="1">
      <c r="A26" s="208" t="s">
        <v>150</v>
      </c>
      <c r="B26" s="203">
        <v>17002.6</v>
      </c>
      <c r="C26" s="204">
        <v>1944.7</v>
      </c>
      <c r="D26" s="210">
        <v>1266.7</v>
      </c>
      <c r="E26" s="204">
        <v>3175.6</v>
      </c>
      <c r="F26" s="204">
        <v>119.8</v>
      </c>
      <c r="G26" s="204">
        <v>2220.6</v>
      </c>
      <c r="H26" s="204">
        <v>162.7</v>
      </c>
      <c r="I26" s="211"/>
      <c r="J26" s="204">
        <v>618.5</v>
      </c>
      <c r="K26" s="204">
        <v>54</v>
      </c>
      <c r="L26" s="212">
        <v>72</v>
      </c>
      <c r="M26" s="212">
        <v>37.3</v>
      </c>
      <c r="N26" s="204"/>
      <c r="O26" s="204">
        <v>3004</v>
      </c>
      <c r="P26" s="204"/>
      <c r="Q26" s="204"/>
      <c r="R26" s="204"/>
      <c r="S26" s="207">
        <f t="shared" si="0"/>
        <v>26502.899999999998</v>
      </c>
      <c r="T26" s="213"/>
      <c r="U26" s="288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</row>
    <row r="27" spans="1:38" s="214" customFormat="1" ht="15.75" customHeight="1">
      <c r="A27" s="208" t="s">
        <v>151</v>
      </c>
      <c r="B27" s="203">
        <v>108521.9</v>
      </c>
      <c r="C27" s="204">
        <v>24875.2</v>
      </c>
      <c r="D27" s="210">
        <v>1955.9</v>
      </c>
      <c r="E27" s="204">
        <v>4887.5</v>
      </c>
      <c r="F27" s="204">
        <v>3980.3</v>
      </c>
      <c r="G27" s="204"/>
      <c r="H27" s="204">
        <v>672.8</v>
      </c>
      <c r="I27" s="211"/>
      <c r="J27" s="204"/>
      <c r="K27" s="204">
        <v>234.4</v>
      </c>
      <c r="L27" s="212">
        <v>720</v>
      </c>
      <c r="M27" s="212">
        <v>1816.1</v>
      </c>
      <c r="N27" s="204"/>
      <c r="O27" s="204">
        <v>38423.2</v>
      </c>
      <c r="P27" s="204"/>
      <c r="Q27" s="204"/>
      <c r="R27" s="204"/>
      <c r="S27" s="207">
        <f t="shared" si="0"/>
        <v>181199.8</v>
      </c>
      <c r="T27" s="213"/>
      <c r="U27" s="288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</row>
    <row r="28" spans="1:38" s="214" customFormat="1" ht="15.75" customHeight="1">
      <c r="A28" s="208" t="s">
        <v>152</v>
      </c>
      <c r="B28" s="203">
        <v>115755.8</v>
      </c>
      <c r="C28" s="204">
        <v>25021.2</v>
      </c>
      <c r="D28" s="210">
        <v>477</v>
      </c>
      <c r="E28" s="204">
        <v>17990</v>
      </c>
      <c r="F28" s="204">
        <v>15052.8</v>
      </c>
      <c r="G28" s="204"/>
      <c r="H28" s="204">
        <v>2148.4</v>
      </c>
      <c r="I28" s="211"/>
      <c r="J28" s="204"/>
      <c r="K28" s="204">
        <v>788.8</v>
      </c>
      <c r="L28" s="212">
        <v>544.8</v>
      </c>
      <c r="M28" s="212">
        <v>126.9</v>
      </c>
      <c r="N28" s="204"/>
      <c r="O28" s="204">
        <v>38648.7</v>
      </c>
      <c r="P28" s="204"/>
      <c r="Q28" s="204"/>
      <c r="R28" s="204"/>
      <c r="S28" s="207">
        <f t="shared" si="0"/>
        <v>198564.39999999997</v>
      </c>
      <c r="T28" s="213"/>
      <c r="U28" s="288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</row>
    <row r="29" spans="1:38" s="214" customFormat="1" ht="15.75" customHeight="1">
      <c r="A29" s="208" t="s">
        <v>153</v>
      </c>
      <c r="B29" s="203">
        <v>4287.4</v>
      </c>
      <c r="C29" s="204">
        <v>428</v>
      </c>
      <c r="D29" s="210">
        <v>39.3</v>
      </c>
      <c r="E29" s="204">
        <v>115.9</v>
      </c>
      <c r="F29" s="204">
        <v>39.3</v>
      </c>
      <c r="G29" s="204"/>
      <c r="H29" s="204">
        <v>36.8</v>
      </c>
      <c r="I29" s="211"/>
      <c r="J29" s="204"/>
      <c r="K29" s="204">
        <v>39.8</v>
      </c>
      <c r="L29" s="212">
        <v>156</v>
      </c>
      <c r="M29" s="212">
        <v>108.1</v>
      </c>
      <c r="N29" s="204"/>
      <c r="O29" s="204">
        <v>661.1</v>
      </c>
      <c r="P29" s="204"/>
      <c r="Q29" s="204"/>
      <c r="R29" s="204"/>
      <c r="S29" s="207">
        <f t="shared" si="0"/>
        <v>5795.8</v>
      </c>
      <c r="T29" s="213"/>
      <c r="U29" s="288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</row>
    <row r="30" spans="1:38" s="214" customFormat="1" ht="15.75" customHeight="1">
      <c r="A30" s="208" t="s">
        <v>154</v>
      </c>
      <c r="B30" s="203">
        <v>17770.1</v>
      </c>
      <c r="C30" s="204">
        <v>1189.3</v>
      </c>
      <c r="D30" s="210">
        <v>345.7</v>
      </c>
      <c r="E30" s="204">
        <v>511.9</v>
      </c>
      <c r="F30" s="204">
        <v>237.2</v>
      </c>
      <c r="G30" s="204"/>
      <c r="H30" s="204">
        <v>200.9</v>
      </c>
      <c r="I30" s="211"/>
      <c r="J30" s="204"/>
      <c r="K30" s="204">
        <v>73.8</v>
      </c>
      <c r="L30" s="212">
        <v>96</v>
      </c>
      <c r="M30" s="212">
        <v>92.9</v>
      </c>
      <c r="N30" s="204"/>
      <c r="O30" s="204">
        <v>1837</v>
      </c>
      <c r="P30" s="204"/>
      <c r="Q30" s="204"/>
      <c r="R30" s="204"/>
      <c r="S30" s="207">
        <f t="shared" si="0"/>
        <v>21842.9</v>
      </c>
      <c r="T30" s="213"/>
      <c r="U30" s="288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</row>
    <row r="31" spans="1:38" s="214" customFormat="1" ht="15.75" customHeight="1">
      <c r="A31" s="208" t="s">
        <v>155</v>
      </c>
      <c r="B31" s="203">
        <v>45722.3</v>
      </c>
      <c r="C31" s="204">
        <v>15673.5</v>
      </c>
      <c r="D31" s="210">
        <v>489.4</v>
      </c>
      <c r="E31" s="204">
        <v>3973.9</v>
      </c>
      <c r="F31" s="204">
        <v>3371</v>
      </c>
      <c r="G31" s="204"/>
      <c r="H31" s="204">
        <v>533.4</v>
      </c>
      <c r="I31" s="211"/>
      <c r="J31" s="204"/>
      <c r="K31" s="204">
        <v>69.5</v>
      </c>
      <c r="L31" s="212">
        <v>432</v>
      </c>
      <c r="M31" s="212">
        <v>622.1</v>
      </c>
      <c r="N31" s="204"/>
      <c r="O31" s="204">
        <v>24210</v>
      </c>
      <c r="P31" s="204"/>
      <c r="Q31" s="204"/>
      <c r="R31" s="204"/>
      <c r="S31" s="207">
        <f t="shared" si="0"/>
        <v>91123.20000000001</v>
      </c>
      <c r="T31" s="213"/>
      <c r="U31" s="288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</row>
    <row r="32" spans="1:38" s="214" customFormat="1" ht="15.75" customHeight="1">
      <c r="A32" s="208" t="s">
        <v>156</v>
      </c>
      <c r="B32" s="203">
        <v>22995.8</v>
      </c>
      <c r="C32" s="204">
        <v>2040.6</v>
      </c>
      <c r="D32" s="210">
        <v>631.6</v>
      </c>
      <c r="E32" s="204">
        <v>385.9</v>
      </c>
      <c r="F32" s="204">
        <v>171.5</v>
      </c>
      <c r="G32" s="204"/>
      <c r="H32" s="204">
        <v>170.9</v>
      </c>
      <c r="I32" s="211"/>
      <c r="J32" s="204"/>
      <c r="K32" s="204">
        <v>43.5</v>
      </c>
      <c r="L32" s="212">
        <v>176.4</v>
      </c>
      <c r="M32" s="212">
        <v>68.9</v>
      </c>
      <c r="N32" s="204"/>
      <c r="O32" s="204">
        <v>3152</v>
      </c>
      <c r="P32" s="204"/>
      <c r="Q32" s="204"/>
      <c r="R32" s="204"/>
      <c r="S32" s="207">
        <f t="shared" si="0"/>
        <v>29451.2</v>
      </c>
      <c r="T32" s="213"/>
      <c r="U32" s="288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</row>
    <row r="33" spans="1:38" s="214" customFormat="1" ht="15.75" customHeight="1">
      <c r="A33" s="208" t="s">
        <v>157</v>
      </c>
      <c r="B33" s="203">
        <v>28423.4</v>
      </c>
      <c r="C33" s="204">
        <v>2858.5</v>
      </c>
      <c r="D33" s="210">
        <v>2255.6</v>
      </c>
      <c r="E33" s="204">
        <v>384.6</v>
      </c>
      <c r="F33" s="204">
        <v>140.3</v>
      </c>
      <c r="G33" s="204"/>
      <c r="H33" s="204">
        <v>191.9</v>
      </c>
      <c r="I33" s="211"/>
      <c r="J33" s="204"/>
      <c r="K33" s="204">
        <v>52.4</v>
      </c>
      <c r="L33" s="212">
        <v>85.2</v>
      </c>
      <c r="M33" s="212">
        <v>331.5</v>
      </c>
      <c r="N33" s="204"/>
      <c r="O33" s="204">
        <v>4415.4</v>
      </c>
      <c r="P33" s="204"/>
      <c r="Q33" s="204"/>
      <c r="R33" s="204"/>
      <c r="S33" s="207">
        <f t="shared" si="0"/>
        <v>38754.2</v>
      </c>
      <c r="T33" s="213"/>
      <c r="U33" s="288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</row>
    <row r="34" spans="1:38" s="214" customFormat="1" ht="15.75" customHeight="1">
      <c r="A34" s="208" t="s">
        <v>158</v>
      </c>
      <c r="B34" s="203">
        <v>5170</v>
      </c>
      <c r="C34" s="204">
        <v>1622.9</v>
      </c>
      <c r="D34" s="210">
        <v>0</v>
      </c>
      <c r="E34" s="204">
        <v>159.5</v>
      </c>
      <c r="F34" s="204">
        <v>130.1</v>
      </c>
      <c r="G34" s="204"/>
      <c r="H34" s="204">
        <v>20.5</v>
      </c>
      <c r="I34" s="211"/>
      <c r="J34" s="204"/>
      <c r="K34" s="204">
        <v>8.9</v>
      </c>
      <c r="L34" s="212">
        <v>120</v>
      </c>
      <c r="M34" s="212">
        <v>209</v>
      </c>
      <c r="N34" s="204"/>
      <c r="O34" s="204">
        <v>2506.8</v>
      </c>
      <c r="P34" s="204"/>
      <c r="Q34" s="204"/>
      <c r="R34" s="204"/>
      <c r="S34" s="207">
        <f t="shared" si="0"/>
        <v>9788.2</v>
      </c>
      <c r="T34" s="213"/>
      <c r="U34" s="288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</row>
    <row r="35" spans="1:38" s="214" customFormat="1" ht="15.75" customHeight="1">
      <c r="A35" s="208" t="s">
        <v>159</v>
      </c>
      <c r="B35" s="203">
        <v>33394.1</v>
      </c>
      <c r="C35" s="204">
        <v>7807.6</v>
      </c>
      <c r="D35" s="210">
        <v>587.3</v>
      </c>
      <c r="E35" s="204">
        <v>2690.2</v>
      </c>
      <c r="F35" s="204">
        <v>2253.2</v>
      </c>
      <c r="G35" s="204"/>
      <c r="H35" s="204">
        <v>376.1</v>
      </c>
      <c r="I35" s="211"/>
      <c r="J35" s="204"/>
      <c r="K35" s="204">
        <v>60.9</v>
      </c>
      <c r="L35" s="212">
        <v>398.4</v>
      </c>
      <c r="M35" s="212">
        <v>65.7</v>
      </c>
      <c r="N35" s="204"/>
      <c r="O35" s="204">
        <v>12060</v>
      </c>
      <c r="P35" s="204"/>
      <c r="Q35" s="204"/>
      <c r="R35" s="204"/>
      <c r="S35" s="207">
        <f t="shared" si="0"/>
        <v>57003.299999999996</v>
      </c>
      <c r="T35" s="213"/>
      <c r="U35" s="288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</row>
    <row r="36" spans="1:38" s="214" customFormat="1" ht="15.75" customHeight="1">
      <c r="A36" s="208" t="s">
        <v>160</v>
      </c>
      <c r="B36" s="203">
        <v>23586.5</v>
      </c>
      <c r="C36" s="204">
        <v>2986.3</v>
      </c>
      <c r="D36" s="210">
        <v>823.6</v>
      </c>
      <c r="E36" s="204">
        <v>582.6</v>
      </c>
      <c r="F36" s="204">
        <v>390</v>
      </c>
      <c r="G36" s="204"/>
      <c r="H36" s="204">
        <v>139</v>
      </c>
      <c r="I36" s="211"/>
      <c r="J36" s="204"/>
      <c r="K36" s="204">
        <v>53.6</v>
      </c>
      <c r="L36" s="212">
        <v>124.8</v>
      </c>
      <c r="M36" s="212">
        <v>335.7</v>
      </c>
      <c r="N36" s="204"/>
      <c r="O36" s="204">
        <v>4612.8</v>
      </c>
      <c r="P36" s="204"/>
      <c r="Q36" s="204"/>
      <c r="R36" s="204"/>
      <c r="S36" s="207">
        <f t="shared" si="0"/>
        <v>33052.299999999996</v>
      </c>
      <c r="T36" s="213"/>
      <c r="U36" s="288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</row>
    <row r="37" spans="1:38" s="214" customFormat="1" ht="15.75" customHeight="1">
      <c r="A37" s="208" t="s">
        <v>161</v>
      </c>
      <c r="B37" s="203">
        <v>9493</v>
      </c>
      <c r="C37" s="204">
        <v>2776.4</v>
      </c>
      <c r="D37" s="210">
        <v>261.7</v>
      </c>
      <c r="E37" s="204">
        <v>2661.1</v>
      </c>
      <c r="F37" s="204">
        <v>289.5</v>
      </c>
      <c r="G37" s="204">
        <v>957.6</v>
      </c>
      <c r="H37" s="204">
        <v>206.4</v>
      </c>
      <c r="I37" s="211"/>
      <c r="J37" s="204">
        <v>1187</v>
      </c>
      <c r="K37" s="204">
        <v>20.6</v>
      </c>
      <c r="L37" s="212">
        <v>168</v>
      </c>
      <c r="M37" s="212">
        <v>229</v>
      </c>
      <c r="N37" s="204"/>
      <c r="O37" s="204">
        <v>4288.5</v>
      </c>
      <c r="P37" s="204"/>
      <c r="Q37" s="204"/>
      <c r="R37" s="204"/>
      <c r="S37" s="207">
        <f t="shared" si="0"/>
        <v>19877.7</v>
      </c>
      <c r="T37" s="213"/>
      <c r="U37" s="288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</row>
    <row r="38" spans="1:38" s="214" customFormat="1" ht="15.75" customHeight="1">
      <c r="A38" s="208" t="s">
        <v>162</v>
      </c>
      <c r="B38" s="203">
        <v>9140</v>
      </c>
      <c r="C38" s="204">
        <v>376.6</v>
      </c>
      <c r="D38" s="210">
        <v>532.6</v>
      </c>
      <c r="E38" s="204">
        <v>75</v>
      </c>
      <c r="F38" s="204">
        <v>0</v>
      </c>
      <c r="G38" s="204"/>
      <c r="H38" s="204">
        <v>68.1</v>
      </c>
      <c r="I38" s="211"/>
      <c r="J38" s="204"/>
      <c r="K38" s="204">
        <v>6.9</v>
      </c>
      <c r="L38" s="212">
        <v>108</v>
      </c>
      <c r="M38" s="212">
        <v>392.5</v>
      </c>
      <c r="N38" s="204"/>
      <c r="O38" s="204">
        <v>581.7</v>
      </c>
      <c r="P38" s="204"/>
      <c r="Q38" s="204"/>
      <c r="R38" s="204"/>
      <c r="S38" s="207">
        <f t="shared" si="0"/>
        <v>11206.400000000001</v>
      </c>
      <c r="T38" s="213"/>
      <c r="U38" s="288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</row>
    <row r="39" spans="1:38" s="214" customFormat="1" ht="15.75" customHeight="1">
      <c r="A39" s="208" t="s">
        <v>163</v>
      </c>
      <c r="B39" s="203">
        <v>18226.6</v>
      </c>
      <c r="C39" s="204">
        <v>3216.2</v>
      </c>
      <c r="D39" s="210">
        <v>962</v>
      </c>
      <c r="E39" s="204">
        <v>483.6</v>
      </c>
      <c r="F39" s="204">
        <v>220.7</v>
      </c>
      <c r="G39" s="204"/>
      <c r="H39" s="204">
        <v>192</v>
      </c>
      <c r="I39" s="211"/>
      <c r="J39" s="204"/>
      <c r="K39" s="204">
        <v>70.9</v>
      </c>
      <c r="L39" s="212">
        <v>78</v>
      </c>
      <c r="M39" s="212">
        <v>477.2</v>
      </c>
      <c r="N39" s="204"/>
      <c r="O39" s="204">
        <v>4967.8</v>
      </c>
      <c r="P39" s="204"/>
      <c r="Q39" s="204"/>
      <c r="R39" s="204"/>
      <c r="S39" s="207">
        <f t="shared" si="0"/>
        <v>28411.399999999998</v>
      </c>
      <c r="T39" s="213"/>
      <c r="U39" s="288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</row>
    <row r="40" spans="1:38" s="214" customFormat="1" ht="15.75" customHeight="1">
      <c r="A40" s="208" t="s">
        <v>164</v>
      </c>
      <c r="B40" s="203">
        <v>18728.3</v>
      </c>
      <c r="C40" s="204">
        <v>5412.5</v>
      </c>
      <c r="D40" s="210">
        <v>659.6</v>
      </c>
      <c r="E40" s="204">
        <v>282.6</v>
      </c>
      <c r="F40" s="204">
        <v>133</v>
      </c>
      <c r="G40" s="204"/>
      <c r="H40" s="204">
        <v>108.3</v>
      </c>
      <c r="I40" s="211"/>
      <c r="J40" s="204"/>
      <c r="K40" s="204">
        <v>41.3</v>
      </c>
      <c r="L40" s="212">
        <v>132</v>
      </c>
      <c r="M40" s="212">
        <v>498.6</v>
      </c>
      <c r="N40" s="204"/>
      <c r="O40" s="204">
        <v>8360.3</v>
      </c>
      <c r="P40" s="204"/>
      <c r="Q40" s="204"/>
      <c r="R40" s="204"/>
      <c r="S40" s="207">
        <f t="shared" si="0"/>
        <v>34073.899999999994</v>
      </c>
      <c r="T40" s="213"/>
      <c r="U40" s="288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</row>
    <row r="41" spans="1:38" s="214" customFormat="1" ht="15.75" customHeight="1">
      <c r="A41" s="208" t="s">
        <v>165</v>
      </c>
      <c r="B41" s="203">
        <v>15067.5</v>
      </c>
      <c r="C41" s="204">
        <v>531</v>
      </c>
      <c r="D41" s="210">
        <v>1797.8</v>
      </c>
      <c r="E41" s="204">
        <v>278.7</v>
      </c>
      <c r="F41" s="204">
        <v>79.2</v>
      </c>
      <c r="G41" s="204"/>
      <c r="H41" s="204">
        <v>142.4</v>
      </c>
      <c r="I41" s="211"/>
      <c r="J41" s="204"/>
      <c r="K41" s="204">
        <v>57.1</v>
      </c>
      <c r="L41" s="212">
        <v>168</v>
      </c>
      <c r="M41" s="212">
        <v>564.6</v>
      </c>
      <c r="N41" s="204"/>
      <c r="O41" s="204">
        <v>820.1</v>
      </c>
      <c r="P41" s="204"/>
      <c r="Q41" s="204"/>
      <c r="R41" s="204"/>
      <c r="S41" s="207">
        <f t="shared" si="0"/>
        <v>19227.699999999997</v>
      </c>
      <c r="T41" s="213"/>
      <c r="U41" s="288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</row>
    <row r="42" spans="1:38" s="214" customFormat="1" ht="15.75" customHeight="1">
      <c r="A42" s="208" t="s">
        <v>166</v>
      </c>
      <c r="B42" s="203">
        <v>29497.5</v>
      </c>
      <c r="C42" s="204">
        <v>5612.9</v>
      </c>
      <c r="D42" s="210">
        <v>1761.6</v>
      </c>
      <c r="E42" s="204">
        <v>429.5</v>
      </c>
      <c r="F42" s="204">
        <v>209.3</v>
      </c>
      <c r="G42" s="204"/>
      <c r="H42" s="204">
        <v>150.2</v>
      </c>
      <c r="I42" s="211"/>
      <c r="J42" s="204"/>
      <c r="K42" s="204">
        <v>70</v>
      </c>
      <c r="L42" s="212">
        <v>166.8</v>
      </c>
      <c r="M42" s="212">
        <v>1069.1</v>
      </c>
      <c r="N42" s="204"/>
      <c r="O42" s="204">
        <v>8669.9</v>
      </c>
      <c r="P42" s="204"/>
      <c r="Q42" s="204"/>
      <c r="R42" s="204"/>
      <c r="S42" s="207">
        <f t="shared" si="0"/>
        <v>47207.3</v>
      </c>
      <c r="T42" s="213"/>
      <c r="U42" s="288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</row>
    <row r="43" spans="1:38" s="214" customFormat="1" ht="15.75" customHeight="1">
      <c r="A43" s="208" t="s">
        <v>167</v>
      </c>
      <c r="B43" s="203">
        <v>9791.4</v>
      </c>
      <c r="C43" s="204">
        <v>1148</v>
      </c>
      <c r="D43" s="210">
        <v>286.9</v>
      </c>
      <c r="E43" s="204">
        <v>229.9</v>
      </c>
      <c r="F43" s="204">
        <v>122.3</v>
      </c>
      <c r="G43" s="204"/>
      <c r="H43" s="204">
        <v>72.3</v>
      </c>
      <c r="I43" s="211"/>
      <c r="J43" s="204"/>
      <c r="K43" s="204">
        <v>35.3</v>
      </c>
      <c r="L43" s="212">
        <v>98.4</v>
      </c>
      <c r="M43" s="212">
        <v>396.2</v>
      </c>
      <c r="N43" s="204"/>
      <c r="O43" s="204">
        <v>1773.2</v>
      </c>
      <c r="P43" s="204"/>
      <c r="Q43" s="204"/>
      <c r="R43" s="204"/>
      <c r="S43" s="207">
        <f t="shared" si="0"/>
        <v>13724</v>
      </c>
      <c r="T43" s="213"/>
      <c r="U43" s="288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</row>
    <row r="44" spans="1:38" s="214" customFormat="1" ht="15.75" customHeight="1">
      <c r="A44" s="208" t="s">
        <v>168</v>
      </c>
      <c r="B44" s="203">
        <v>6579.4</v>
      </c>
      <c r="C44" s="204">
        <v>171.5</v>
      </c>
      <c r="D44" s="210">
        <v>513.9</v>
      </c>
      <c r="E44" s="204">
        <v>40.3</v>
      </c>
      <c r="F44" s="204">
        <v>12.9</v>
      </c>
      <c r="G44" s="204"/>
      <c r="H44" s="204">
        <v>17.4</v>
      </c>
      <c r="I44" s="211"/>
      <c r="J44" s="204"/>
      <c r="K44" s="204">
        <v>10</v>
      </c>
      <c r="L44" s="212">
        <v>96</v>
      </c>
      <c r="M44" s="212">
        <v>98.6</v>
      </c>
      <c r="N44" s="204"/>
      <c r="O44" s="204">
        <v>264.9</v>
      </c>
      <c r="P44" s="204"/>
      <c r="Q44" s="204"/>
      <c r="R44" s="204"/>
      <c r="S44" s="207">
        <f t="shared" si="0"/>
        <v>7764.599999999999</v>
      </c>
      <c r="T44" s="213"/>
      <c r="U44" s="288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</row>
    <row r="45" spans="1:38" s="214" customFormat="1" ht="15.75" customHeight="1">
      <c r="A45" s="208" t="s">
        <v>169</v>
      </c>
      <c r="B45" s="203">
        <v>6639.4</v>
      </c>
      <c r="C45" s="204">
        <v>934.1</v>
      </c>
      <c r="D45" s="210">
        <v>276.9</v>
      </c>
      <c r="E45" s="204">
        <v>178.1</v>
      </c>
      <c r="F45" s="204">
        <v>141.9</v>
      </c>
      <c r="G45" s="204"/>
      <c r="H45" s="204">
        <v>24.1</v>
      </c>
      <c r="I45" s="211"/>
      <c r="J45" s="204"/>
      <c r="K45" s="204">
        <v>12.1</v>
      </c>
      <c r="L45" s="212">
        <v>50.4</v>
      </c>
      <c r="M45" s="212">
        <v>234.7</v>
      </c>
      <c r="N45" s="204"/>
      <c r="O45" s="204">
        <v>1443</v>
      </c>
      <c r="P45" s="204"/>
      <c r="Q45" s="204"/>
      <c r="R45" s="204"/>
      <c r="S45" s="207">
        <f t="shared" si="0"/>
        <v>9756.6</v>
      </c>
      <c r="T45" s="213"/>
      <c r="U45" s="288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</row>
    <row r="46" spans="1:38" s="214" customFormat="1" ht="15.75" customHeight="1">
      <c r="A46" s="208" t="s">
        <v>170</v>
      </c>
      <c r="B46" s="203">
        <v>8352.1</v>
      </c>
      <c r="C46" s="204">
        <v>248.5</v>
      </c>
      <c r="D46" s="210">
        <v>952.5</v>
      </c>
      <c r="E46" s="204">
        <v>130.6</v>
      </c>
      <c r="F46" s="204">
        <v>84.8</v>
      </c>
      <c r="G46" s="204"/>
      <c r="H46" s="204">
        <v>32.5</v>
      </c>
      <c r="I46" s="211"/>
      <c r="J46" s="204"/>
      <c r="K46" s="204">
        <v>13.3</v>
      </c>
      <c r="L46" s="212">
        <v>60</v>
      </c>
      <c r="M46" s="212">
        <v>190.9</v>
      </c>
      <c r="N46" s="204"/>
      <c r="O46" s="204">
        <v>383.9</v>
      </c>
      <c r="P46" s="204"/>
      <c r="Q46" s="204"/>
      <c r="R46" s="204"/>
      <c r="S46" s="207">
        <f t="shared" si="0"/>
        <v>10318.5</v>
      </c>
      <c r="T46" s="213"/>
      <c r="U46" s="288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</row>
    <row r="47" spans="1:38" s="214" customFormat="1" ht="15.75" customHeight="1">
      <c r="A47" s="208" t="s">
        <v>171</v>
      </c>
      <c r="B47" s="203">
        <v>31268</v>
      </c>
      <c r="C47" s="204">
        <v>2664.7</v>
      </c>
      <c r="D47" s="210">
        <v>1072.6</v>
      </c>
      <c r="E47" s="204">
        <v>634.2</v>
      </c>
      <c r="F47" s="204">
        <v>275.1</v>
      </c>
      <c r="G47" s="204"/>
      <c r="H47" s="204">
        <v>252.7</v>
      </c>
      <c r="I47" s="211"/>
      <c r="J47" s="204"/>
      <c r="K47" s="204">
        <v>106.4</v>
      </c>
      <c r="L47" s="212">
        <v>75.6</v>
      </c>
      <c r="M47" s="212">
        <v>450.6</v>
      </c>
      <c r="N47" s="204"/>
      <c r="O47" s="204">
        <v>4116</v>
      </c>
      <c r="P47" s="204"/>
      <c r="Q47" s="204"/>
      <c r="R47" s="204"/>
      <c r="S47" s="207">
        <f t="shared" si="0"/>
        <v>40281.69999999999</v>
      </c>
      <c r="T47" s="213"/>
      <c r="U47" s="288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</row>
    <row r="48" spans="1:38" s="214" customFormat="1" ht="15.75" customHeight="1">
      <c r="A48" s="208" t="s">
        <v>172</v>
      </c>
      <c r="B48" s="203">
        <v>11502.4</v>
      </c>
      <c r="C48" s="204">
        <v>1840.8</v>
      </c>
      <c r="D48" s="210">
        <v>383.9</v>
      </c>
      <c r="E48" s="204">
        <v>333</v>
      </c>
      <c r="F48" s="204">
        <v>219.2</v>
      </c>
      <c r="G48" s="204"/>
      <c r="H48" s="204">
        <v>98.6</v>
      </c>
      <c r="I48" s="211"/>
      <c r="J48" s="204"/>
      <c r="K48" s="204">
        <v>15.2</v>
      </c>
      <c r="L48" s="212">
        <v>78</v>
      </c>
      <c r="M48" s="212">
        <v>325.3</v>
      </c>
      <c r="N48" s="204"/>
      <c r="O48" s="204">
        <v>2843.3</v>
      </c>
      <c r="P48" s="204"/>
      <c r="Q48" s="204"/>
      <c r="R48" s="204"/>
      <c r="S48" s="207">
        <f t="shared" si="0"/>
        <v>17306.699999999997</v>
      </c>
      <c r="T48" s="213"/>
      <c r="U48" s="288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</row>
    <row r="49" spans="1:38" s="214" customFormat="1" ht="15.75" customHeight="1">
      <c r="A49" s="208" t="s">
        <v>173</v>
      </c>
      <c r="B49" s="203">
        <v>6817.4</v>
      </c>
      <c r="C49" s="204">
        <v>1584.4</v>
      </c>
      <c r="D49" s="210">
        <v>399.9</v>
      </c>
      <c r="E49" s="204">
        <v>273.5</v>
      </c>
      <c r="F49" s="204">
        <v>146.7</v>
      </c>
      <c r="G49" s="204"/>
      <c r="H49" s="204">
        <v>89</v>
      </c>
      <c r="I49" s="211"/>
      <c r="J49" s="204"/>
      <c r="K49" s="204">
        <v>37.8</v>
      </c>
      <c r="L49" s="212">
        <v>24</v>
      </c>
      <c r="M49" s="212">
        <v>322.3</v>
      </c>
      <c r="N49" s="204"/>
      <c r="O49" s="204">
        <v>2447.3</v>
      </c>
      <c r="P49" s="204"/>
      <c r="Q49" s="204"/>
      <c r="R49" s="204"/>
      <c r="S49" s="207">
        <f t="shared" si="0"/>
        <v>11868.8</v>
      </c>
      <c r="T49" s="213"/>
      <c r="U49" s="288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</row>
    <row r="50" spans="1:38" s="214" customFormat="1" ht="15.75" customHeight="1">
      <c r="A50" s="208" t="s">
        <v>174</v>
      </c>
      <c r="B50" s="203">
        <v>12283.8</v>
      </c>
      <c r="C50" s="204">
        <v>706.1</v>
      </c>
      <c r="D50" s="210">
        <v>995.8</v>
      </c>
      <c r="E50" s="204">
        <v>159.2</v>
      </c>
      <c r="F50" s="204">
        <v>130.6</v>
      </c>
      <c r="G50" s="204"/>
      <c r="H50" s="204">
        <v>22.5</v>
      </c>
      <c r="I50" s="211"/>
      <c r="J50" s="204"/>
      <c r="K50" s="204">
        <v>6.1</v>
      </c>
      <c r="L50" s="212">
        <v>228</v>
      </c>
      <c r="M50" s="212">
        <v>169.8</v>
      </c>
      <c r="N50" s="204">
        <v>100</v>
      </c>
      <c r="O50" s="204">
        <v>1090.7</v>
      </c>
      <c r="P50" s="204"/>
      <c r="Q50" s="204"/>
      <c r="R50" s="204"/>
      <c r="S50" s="207">
        <f t="shared" si="0"/>
        <v>15733.4</v>
      </c>
      <c r="T50" s="213"/>
      <c r="U50" s="288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</row>
    <row r="51" spans="1:38" s="214" customFormat="1" ht="15.75" customHeight="1">
      <c r="A51" s="208" t="s">
        <v>175</v>
      </c>
      <c r="B51" s="203">
        <v>18537.6</v>
      </c>
      <c r="C51" s="204">
        <v>2563.2</v>
      </c>
      <c r="D51" s="210">
        <v>866.3</v>
      </c>
      <c r="E51" s="204">
        <v>407.4</v>
      </c>
      <c r="F51" s="204">
        <v>214.4</v>
      </c>
      <c r="G51" s="204"/>
      <c r="H51" s="204">
        <v>188</v>
      </c>
      <c r="I51" s="211"/>
      <c r="J51" s="204"/>
      <c r="K51" s="204">
        <v>5</v>
      </c>
      <c r="L51" s="212">
        <v>132</v>
      </c>
      <c r="M51" s="212">
        <v>330.2</v>
      </c>
      <c r="N51" s="204"/>
      <c r="O51" s="204">
        <v>3959.2</v>
      </c>
      <c r="P51" s="204"/>
      <c r="Q51" s="204"/>
      <c r="R51" s="204"/>
      <c r="S51" s="207">
        <f t="shared" si="0"/>
        <v>26795.9</v>
      </c>
      <c r="T51" s="213"/>
      <c r="U51" s="288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</row>
    <row r="52" spans="1:38" s="214" customFormat="1" ht="15.75" customHeight="1">
      <c r="A52" s="208" t="s">
        <v>176</v>
      </c>
      <c r="B52" s="203">
        <v>11456.3</v>
      </c>
      <c r="C52" s="204">
        <v>540.6</v>
      </c>
      <c r="D52" s="210">
        <v>1149</v>
      </c>
      <c r="E52" s="204">
        <v>204.2</v>
      </c>
      <c r="F52" s="204">
        <v>78.6</v>
      </c>
      <c r="G52" s="204"/>
      <c r="H52" s="204">
        <v>90.6</v>
      </c>
      <c r="I52" s="211"/>
      <c r="J52" s="204"/>
      <c r="K52" s="204">
        <v>35</v>
      </c>
      <c r="L52" s="212">
        <v>96</v>
      </c>
      <c r="M52" s="212">
        <v>337.5</v>
      </c>
      <c r="N52" s="204"/>
      <c r="O52" s="204">
        <v>835</v>
      </c>
      <c r="P52" s="204"/>
      <c r="Q52" s="204"/>
      <c r="R52" s="204"/>
      <c r="S52" s="207">
        <f t="shared" si="0"/>
        <v>14618.6</v>
      </c>
      <c r="T52" s="213"/>
      <c r="U52" s="288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</row>
    <row r="53" spans="1:38" s="214" customFormat="1" ht="15.75" customHeight="1">
      <c r="A53" s="208" t="s">
        <v>177</v>
      </c>
      <c r="B53" s="203">
        <v>5913</v>
      </c>
      <c r="C53" s="204">
        <v>302.5</v>
      </c>
      <c r="D53" s="210">
        <v>439.8</v>
      </c>
      <c r="E53" s="204">
        <v>98.3</v>
      </c>
      <c r="F53" s="204">
        <v>60.4</v>
      </c>
      <c r="G53" s="204"/>
      <c r="H53" s="204">
        <v>17.8</v>
      </c>
      <c r="I53" s="211"/>
      <c r="J53" s="204"/>
      <c r="K53" s="204">
        <v>20.1</v>
      </c>
      <c r="L53" s="212">
        <v>80.4</v>
      </c>
      <c r="M53" s="212">
        <v>106.9</v>
      </c>
      <c r="N53" s="204"/>
      <c r="O53" s="204">
        <v>467.2</v>
      </c>
      <c r="P53" s="204"/>
      <c r="Q53" s="204"/>
      <c r="R53" s="204"/>
      <c r="S53" s="207">
        <f t="shared" si="0"/>
        <v>7408.099999999999</v>
      </c>
      <c r="T53" s="213"/>
      <c r="U53" s="288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</row>
    <row r="54" spans="1:38" s="214" customFormat="1" ht="15.75" customHeight="1">
      <c r="A54" s="208" t="s">
        <v>178</v>
      </c>
      <c r="B54" s="203">
        <v>7899.8</v>
      </c>
      <c r="C54" s="216">
        <v>550.5</v>
      </c>
      <c r="D54" s="210">
        <v>562.2</v>
      </c>
      <c r="E54" s="204">
        <v>151</v>
      </c>
      <c r="F54" s="204">
        <v>100.5</v>
      </c>
      <c r="G54" s="204"/>
      <c r="H54" s="204">
        <v>29.9</v>
      </c>
      <c r="I54" s="211"/>
      <c r="J54" s="204"/>
      <c r="K54" s="204">
        <v>20.6</v>
      </c>
      <c r="L54" s="212">
        <v>78</v>
      </c>
      <c r="M54" s="212">
        <v>0</v>
      </c>
      <c r="N54" s="204"/>
      <c r="O54" s="204">
        <v>850.4</v>
      </c>
      <c r="P54" s="204"/>
      <c r="Q54" s="204"/>
      <c r="R54" s="204"/>
      <c r="S54" s="207">
        <f t="shared" si="0"/>
        <v>10091.9</v>
      </c>
      <c r="T54" s="213"/>
      <c r="U54" s="288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</row>
    <row r="55" spans="1:38" s="214" customFormat="1" ht="15.75" customHeight="1" thickBot="1">
      <c r="A55" s="217" t="s">
        <v>179</v>
      </c>
      <c r="B55" s="216"/>
      <c r="C55" s="216"/>
      <c r="D55" s="216"/>
      <c r="E55" s="216"/>
      <c r="F55" s="216"/>
      <c r="G55" s="216"/>
      <c r="H55" s="216"/>
      <c r="I55" s="218"/>
      <c r="J55" s="216"/>
      <c r="K55" s="216"/>
      <c r="L55" s="216">
        <v>481.6</v>
      </c>
      <c r="M55" s="219">
        <v>12478.2</v>
      </c>
      <c r="N55" s="216"/>
      <c r="O55" s="216"/>
      <c r="P55" s="216">
        <v>7721.8</v>
      </c>
      <c r="Q55" s="216">
        <v>61249.8</v>
      </c>
      <c r="R55" s="216">
        <v>61927.5</v>
      </c>
      <c r="S55" s="207">
        <f t="shared" si="0"/>
        <v>143858.90000000002</v>
      </c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</row>
    <row r="56" spans="1:38" s="214" customFormat="1" ht="15.75" customHeight="1" thickBot="1">
      <c r="A56" s="220" t="s">
        <v>180</v>
      </c>
      <c r="B56" s="221">
        <f aca="true" t="shared" si="1" ref="B56:S56">SUM(B10:B55)</f>
        <v>1319445.9000000001</v>
      </c>
      <c r="C56" s="221">
        <f t="shared" si="1"/>
        <v>279217.8</v>
      </c>
      <c r="D56" s="221">
        <f t="shared" si="1"/>
        <v>31741.899999999998</v>
      </c>
      <c r="E56" s="221">
        <f t="shared" si="1"/>
        <v>147643.80000000002</v>
      </c>
      <c r="F56" s="221">
        <f t="shared" si="1"/>
        <v>123247.10000000002</v>
      </c>
      <c r="G56" s="221">
        <f t="shared" si="1"/>
        <v>3400.2999999999997</v>
      </c>
      <c r="H56" s="221">
        <f t="shared" si="1"/>
        <v>14811.099999999997</v>
      </c>
      <c r="I56" s="221">
        <f t="shared" si="1"/>
        <v>266.2</v>
      </c>
      <c r="J56" s="221">
        <f t="shared" si="1"/>
        <v>1917.4</v>
      </c>
      <c r="K56" s="221">
        <f t="shared" si="1"/>
        <v>4001.7000000000003</v>
      </c>
      <c r="L56" s="221">
        <f t="shared" si="1"/>
        <v>8611.599999999999</v>
      </c>
      <c r="M56" s="221">
        <f t="shared" si="1"/>
        <v>29759.400000000005</v>
      </c>
      <c r="N56" s="221">
        <f t="shared" si="1"/>
        <v>300</v>
      </c>
      <c r="O56" s="221">
        <f t="shared" si="1"/>
        <v>431291.4000000001</v>
      </c>
      <c r="P56" s="221">
        <f t="shared" si="1"/>
        <v>7721.8</v>
      </c>
      <c r="Q56" s="221">
        <f t="shared" si="1"/>
        <v>61249.8</v>
      </c>
      <c r="R56" s="221">
        <f t="shared" si="1"/>
        <v>61927.5</v>
      </c>
      <c r="S56" s="221">
        <f t="shared" si="1"/>
        <v>2378910.9</v>
      </c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</row>
    <row r="57" spans="2:38" ht="15.75">
      <c r="B57" s="29"/>
      <c r="C57" s="28"/>
      <c r="E57" s="28"/>
      <c r="S57" s="222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</row>
    <row r="58" spans="19:38" ht="15.75">
      <c r="S58" s="222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</row>
    <row r="59" spans="6:38" ht="15.75">
      <c r="F59" s="28"/>
      <c r="G59" s="28"/>
      <c r="S59" s="222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</row>
    <row r="60" spans="19:38" ht="15.75">
      <c r="S60" s="222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</row>
    <row r="61" spans="19:38" ht="15.75">
      <c r="S61" s="222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</row>
    <row r="62" spans="19:38" ht="15.75">
      <c r="S62" s="222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</row>
    <row r="63" spans="19:38" ht="15.75">
      <c r="S63" s="222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</row>
    <row r="64" spans="19:38" ht="15.75">
      <c r="S64" s="222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</row>
    <row r="65" spans="19:38" ht="15.75">
      <c r="S65" s="222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</row>
    <row r="66" spans="19:38" ht="15.75">
      <c r="S66" s="222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</row>
    <row r="67" spans="19:38" ht="15.75">
      <c r="S67" s="222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</row>
    <row r="68" spans="19:38" ht="15.75">
      <c r="S68" s="222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</row>
    <row r="69" spans="19:38" ht="15.75">
      <c r="S69" s="222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</row>
    <row r="70" spans="19:38" ht="15.75">
      <c r="S70" s="222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</row>
    <row r="71" spans="19:38" ht="15.75">
      <c r="S71" s="222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</row>
    <row r="72" spans="19:38" ht="15.75">
      <c r="S72" s="222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</row>
    <row r="73" spans="19:38" ht="15.75">
      <c r="S73" s="222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</row>
    <row r="74" spans="19:38" ht="15.75">
      <c r="S74" s="222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</row>
    <row r="75" spans="19:38" ht="15.75">
      <c r="S75" s="222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</row>
    <row r="76" spans="19:38" ht="15.75">
      <c r="S76" s="222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</row>
    <row r="77" spans="19:38" ht="15.75">
      <c r="S77" s="222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</row>
    <row r="78" spans="19:38" ht="15.75">
      <c r="S78" s="222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</row>
    <row r="79" spans="19:38" ht="15.75">
      <c r="S79" s="222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</row>
    <row r="80" spans="19:38" ht="15.75">
      <c r="S80" s="222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</row>
    <row r="81" spans="19:38" ht="15.75">
      <c r="S81" s="222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</row>
    <row r="82" spans="19:38" ht="15.75">
      <c r="S82" s="222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</row>
    <row r="83" spans="19:38" ht="15.75">
      <c r="S83" s="222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</row>
    <row r="84" spans="19:38" ht="15.75">
      <c r="S84" s="222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</row>
    <row r="85" spans="19:38" ht="15.75">
      <c r="S85" s="222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</row>
    <row r="86" spans="19:38" ht="15.75">
      <c r="S86" s="222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</row>
    <row r="87" spans="19:38" ht="15.75">
      <c r="S87" s="222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</row>
    <row r="88" spans="19:38" ht="15.75">
      <c r="S88" s="222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</row>
    <row r="89" spans="19:38" ht="15.75">
      <c r="S89" s="222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</row>
    <row r="90" spans="19:38" ht="15.75">
      <c r="S90" s="222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</row>
    <row r="91" spans="19:38" ht="15.75">
      <c r="S91" s="222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</row>
    <row r="92" spans="19:38" ht="15.75">
      <c r="S92" s="222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</row>
    <row r="93" spans="19:38" ht="15.75">
      <c r="S93" s="222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</row>
    <row r="94" spans="19:38" ht="15.75">
      <c r="S94" s="222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</row>
    <row r="95" spans="19:38" ht="15.75">
      <c r="S95" s="222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</row>
    <row r="96" spans="19:38" ht="15.75">
      <c r="S96" s="222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</row>
    <row r="97" spans="19:38" ht="15.75">
      <c r="S97" s="222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</row>
    <row r="98" spans="19:38" ht="15.75">
      <c r="S98" s="222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</row>
    <row r="99" spans="19:38" ht="15.75">
      <c r="S99" s="222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</row>
    <row r="100" spans="19:38" ht="15.75">
      <c r="S100" s="222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</row>
    <row r="101" spans="19:38" ht="15.75">
      <c r="S101" s="222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</row>
    <row r="102" spans="19:38" ht="15.75">
      <c r="S102" s="222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</row>
    <row r="103" spans="19:38" ht="15.75">
      <c r="S103" s="222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</row>
    <row r="104" spans="19:38" ht="15.75">
      <c r="S104" s="222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</row>
    <row r="105" spans="19:38" ht="15.75">
      <c r="S105" s="222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</row>
    <row r="106" spans="19:38" ht="15.75">
      <c r="S106" s="222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</row>
    <row r="107" spans="19:38" ht="15.75">
      <c r="S107" s="222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</row>
    <row r="108" spans="19:38" ht="15.75">
      <c r="S108" s="222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</row>
    <row r="109" spans="19:38" ht="15.75">
      <c r="S109" s="222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</row>
    <row r="110" spans="19:38" ht="15.75">
      <c r="S110" s="222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</row>
    <row r="111" spans="19:38" ht="15.75">
      <c r="S111" s="222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</row>
    <row r="112" spans="19:38" ht="15.75">
      <c r="S112" s="222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</row>
    <row r="113" spans="19:38" ht="15.75">
      <c r="S113" s="222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</row>
    <row r="114" spans="19:38" ht="15.75">
      <c r="S114" s="222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</row>
    <row r="115" spans="19:38" ht="15.75">
      <c r="S115" s="222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</row>
    <row r="116" spans="19:38" ht="15.75">
      <c r="S116" s="222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</row>
    <row r="117" spans="19:38" ht="15.75">
      <c r="S117" s="222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</row>
    <row r="118" spans="19:38" ht="15.75">
      <c r="S118" s="222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</row>
    <row r="119" spans="19:38" ht="15.75">
      <c r="S119" s="222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</row>
    <row r="120" spans="19:38" ht="15.75">
      <c r="S120" s="222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</row>
    <row r="121" spans="19:38" ht="15.75">
      <c r="S121" s="222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</row>
    <row r="122" spans="19:38" ht="15.75">
      <c r="S122" s="222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</row>
    <row r="123" spans="19:38" ht="15.75">
      <c r="S123" s="222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</row>
    <row r="124" spans="19:38" ht="15.75">
      <c r="S124" s="222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</row>
    <row r="125" spans="19:38" ht="15.75">
      <c r="S125" s="222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</row>
    <row r="126" spans="19:38" ht="15.75">
      <c r="S126" s="222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</row>
    <row r="127" spans="19:38" ht="15.75">
      <c r="S127" s="222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</row>
    <row r="128" spans="19:38" ht="15.75">
      <c r="S128" s="222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</row>
    <row r="129" spans="19:38" ht="15.75">
      <c r="S129" s="222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</row>
    <row r="130" spans="19:38" ht="15.75">
      <c r="S130" s="222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</row>
    <row r="131" spans="19:38" ht="15.75">
      <c r="S131" s="222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</row>
    <row r="132" spans="19:38" ht="15.75">
      <c r="S132" s="222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</row>
    <row r="133" spans="19:38" ht="15.75">
      <c r="S133" s="222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</row>
    <row r="134" spans="19:38" ht="15.75">
      <c r="S134" s="222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</row>
    <row r="135" spans="19:38" ht="15.75">
      <c r="S135" s="222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</row>
    <row r="136" spans="19:38" ht="15.75">
      <c r="S136" s="222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</row>
    <row r="137" spans="19:38" ht="15.75">
      <c r="S137" s="222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</row>
    <row r="138" spans="19:38" ht="15.75">
      <c r="S138" s="222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</row>
    <row r="139" spans="19:38" ht="15.75">
      <c r="S139" s="222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</row>
    <row r="140" spans="19:38" ht="15.75">
      <c r="S140" s="222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</row>
    <row r="141" spans="19:38" ht="15.75">
      <c r="S141" s="222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</row>
    <row r="142" spans="19:38" ht="15.75">
      <c r="S142" s="222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</row>
    <row r="143" spans="19:38" ht="15.75">
      <c r="S143" s="222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</row>
    <row r="144" spans="19:38" ht="15.75">
      <c r="S144" s="222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</row>
    <row r="145" spans="19:38" ht="15.75">
      <c r="S145" s="222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</row>
    <row r="146" spans="19:38" ht="15.75">
      <c r="S146" s="222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</row>
    <row r="147" spans="19:38" ht="15.75">
      <c r="S147" s="222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</row>
    <row r="148" spans="19:38" ht="15.75">
      <c r="S148" s="222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</row>
    <row r="149" spans="19:38" ht="15.75">
      <c r="S149" s="222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</row>
    <row r="150" spans="19:38" ht="15.75">
      <c r="S150" s="222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</row>
    <row r="151" spans="19:38" ht="15.75">
      <c r="S151" s="222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</row>
    <row r="152" spans="19:38" ht="15.75">
      <c r="S152" s="222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</row>
    <row r="153" spans="19:38" ht="15.75">
      <c r="S153" s="222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</row>
    <row r="154" spans="19:38" ht="15.75">
      <c r="S154" s="222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</row>
    <row r="155" spans="19:38" ht="15.75">
      <c r="S155" s="222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</row>
    <row r="156" spans="19:38" ht="15.75">
      <c r="S156" s="222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</row>
    <row r="157" spans="19:38" ht="15.75">
      <c r="S157" s="222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</row>
    <row r="158" spans="19:38" ht="15.75">
      <c r="S158" s="222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</row>
    <row r="159" spans="19:38" ht="15.75">
      <c r="S159" s="222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</row>
    <row r="160" spans="19:38" ht="15.75">
      <c r="S160" s="222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</row>
    <row r="161" spans="19:38" ht="15.75">
      <c r="S161" s="222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</row>
    <row r="162" spans="19:38" ht="15.75">
      <c r="S162" s="222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</row>
    <row r="163" spans="19:38" ht="15.75">
      <c r="S163" s="222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</row>
    <row r="164" spans="19:38" ht="15.75">
      <c r="S164" s="222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</row>
    <row r="165" spans="19:38" ht="15.75">
      <c r="S165" s="222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</row>
    <row r="166" spans="19:38" ht="15.75">
      <c r="S166" s="222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</row>
    <row r="167" spans="19:38" ht="15.75">
      <c r="S167" s="222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</row>
    <row r="168" spans="19:38" ht="15.75">
      <c r="S168" s="222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</row>
    <row r="169" spans="19:38" ht="15.75">
      <c r="S169" s="222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</row>
    <row r="170" spans="19:38" ht="15.75">
      <c r="S170" s="222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</row>
    <row r="171" spans="19:38" ht="15.75">
      <c r="S171" s="222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</row>
    <row r="172" spans="19:38" ht="15.75">
      <c r="S172" s="222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</row>
    <row r="173" spans="19:38" ht="15.75">
      <c r="S173" s="222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</row>
    <row r="174" spans="19:38" ht="15.75">
      <c r="S174" s="222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</row>
    <row r="175" spans="19:38" ht="15.75">
      <c r="S175" s="222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</row>
    <row r="176" spans="19:38" ht="15.75">
      <c r="S176" s="222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</row>
    <row r="177" spans="19:38" ht="15.75">
      <c r="S177" s="222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</row>
    <row r="178" spans="19:38" ht="15.75">
      <c r="S178" s="222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</row>
    <row r="179" spans="19:38" ht="15.75">
      <c r="S179" s="222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</row>
    <row r="180" spans="19:38" ht="15.75">
      <c r="S180" s="222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</row>
    <row r="181" spans="19:38" ht="15.75">
      <c r="S181" s="222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</row>
    <row r="182" spans="19:38" ht="15.75">
      <c r="S182" s="222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</row>
    <row r="183" spans="19:38" ht="15.75">
      <c r="S183" s="222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</row>
    <row r="184" spans="19:38" ht="15.75">
      <c r="S184" s="222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</row>
    <row r="185" spans="19:38" ht="15.75">
      <c r="S185" s="222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</row>
  </sheetData>
  <mergeCells count="22">
    <mergeCell ref="B4:L4"/>
    <mergeCell ref="A6:A9"/>
    <mergeCell ref="B6:N6"/>
    <mergeCell ref="B7:B9"/>
    <mergeCell ref="C7:C9"/>
    <mergeCell ref="D7:D9"/>
    <mergeCell ref="E7:E9"/>
    <mergeCell ref="F7:K7"/>
    <mergeCell ref="L7:L9"/>
    <mergeCell ref="M7:M9"/>
    <mergeCell ref="R6:R9"/>
    <mergeCell ref="S6:S9"/>
    <mergeCell ref="O7:O9"/>
    <mergeCell ref="P7:P9"/>
    <mergeCell ref="Q7:Q9"/>
    <mergeCell ref="O6:Q6"/>
    <mergeCell ref="N7:N9"/>
    <mergeCell ref="F8:F9"/>
    <mergeCell ref="G8:G9"/>
    <mergeCell ref="H8:H9"/>
    <mergeCell ref="I8:J8"/>
    <mergeCell ref="K8:K9"/>
  </mergeCells>
  <printOptions/>
  <pageMargins left="0.7874015748031497" right="0.7874015748031497" top="0.984251968503937" bottom="0.5905511811023623" header="0" footer="0"/>
  <pageSetup horizontalDpi="600" verticalDpi="600" orientation="landscape" paperSize="9" scale="45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workbookViewId="0" topLeftCell="A1">
      <selection activeCell="C3" sqref="C3:O3"/>
    </sheetView>
  </sheetViews>
  <sheetFormatPr defaultColWidth="9.00390625" defaultRowHeight="12.75"/>
  <cols>
    <col min="1" max="1" width="24.625" style="192" customWidth="1"/>
    <col min="2" max="2" width="22.25390625" style="192" customWidth="1"/>
    <col min="3" max="3" width="20.00390625" style="192" customWidth="1"/>
    <col min="4" max="4" width="15.75390625" style="192" customWidth="1"/>
    <col min="5" max="5" width="19.25390625" style="192" customWidth="1"/>
    <col min="6" max="6" width="17.75390625" style="192" customWidth="1"/>
    <col min="7" max="7" width="13.25390625" style="192" customWidth="1"/>
    <col min="8" max="8" width="17.75390625" style="192" hidden="1" customWidth="1"/>
    <col min="9" max="9" width="12.75390625" style="192" customWidth="1"/>
    <col min="10" max="10" width="17.75390625" style="192" customWidth="1"/>
    <col min="11" max="11" width="10.875" style="192" customWidth="1"/>
    <col min="12" max="12" width="15.25390625" style="192" hidden="1" customWidth="1"/>
    <col min="13" max="13" width="4.875" style="192" hidden="1" customWidth="1"/>
    <col min="14" max="14" width="14.00390625" style="192" hidden="1" customWidth="1"/>
    <col min="15" max="16384" width="8.875" style="192" customWidth="1"/>
  </cols>
  <sheetData>
    <row r="1" spans="3:15" ht="13.5" customHeight="1">
      <c r="C1" s="328" t="s">
        <v>181</v>
      </c>
      <c r="D1" s="328"/>
      <c r="E1" s="328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3:15" ht="15.75">
      <c r="C2" s="328" t="s">
        <v>203</v>
      </c>
      <c r="D2" s="328"/>
      <c r="E2" s="328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3:15" ht="15.75">
      <c r="C3" s="328" t="s">
        <v>357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2:1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2.75">
      <c r="N6" s="5"/>
    </row>
    <row r="7" spans="1:16" ht="26.25" customHeight="1">
      <c r="A7" s="395" t="s">
        <v>182</v>
      </c>
      <c r="B7" s="395"/>
      <c r="C7" s="395"/>
      <c r="D7" s="395"/>
      <c r="E7" s="223"/>
      <c r="F7" s="223"/>
      <c r="G7" s="223"/>
      <c r="H7" s="223"/>
      <c r="I7" s="223"/>
      <c r="J7" s="223"/>
      <c r="K7" s="223"/>
      <c r="L7" s="224"/>
      <c r="M7" s="224"/>
      <c r="N7" s="223"/>
      <c r="O7" s="225"/>
      <c r="P7" s="225"/>
    </row>
    <row r="8" ht="13.5" thickBot="1">
      <c r="N8" s="226"/>
    </row>
    <row r="9" spans="1:16" ht="39" customHeight="1">
      <c r="A9" s="387" t="s">
        <v>119</v>
      </c>
      <c r="B9" s="389" t="s">
        <v>183</v>
      </c>
      <c r="C9" s="391" t="s">
        <v>331</v>
      </c>
      <c r="D9" s="393" t="s">
        <v>184</v>
      </c>
      <c r="E9" s="379"/>
      <c r="F9" s="379"/>
      <c r="G9" s="227"/>
      <c r="H9" s="228"/>
      <c r="I9" s="385"/>
      <c r="J9" s="386"/>
      <c r="K9" s="379"/>
      <c r="L9" s="380"/>
      <c r="M9" s="381"/>
      <c r="N9" s="383"/>
      <c r="O9" s="378"/>
      <c r="P9" s="378"/>
    </row>
    <row r="10" spans="1:16" ht="52.5" customHeight="1" thickBot="1">
      <c r="A10" s="388"/>
      <c r="B10" s="390"/>
      <c r="C10" s="392"/>
      <c r="D10" s="394"/>
      <c r="E10" s="379"/>
      <c r="F10" s="379"/>
      <c r="G10" s="227"/>
      <c r="H10" s="227"/>
      <c r="I10" s="385"/>
      <c r="J10" s="386"/>
      <c r="K10" s="379"/>
      <c r="L10" s="380"/>
      <c r="M10" s="382"/>
      <c r="N10" s="384"/>
      <c r="O10" s="229"/>
      <c r="P10" s="229"/>
    </row>
    <row r="11" spans="1:14" ht="13.5" customHeight="1">
      <c r="A11" s="202" t="s">
        <v>134</v>
      </c>
      <c r="B11" s="296">
        <v>1633.176</v>
      </c>
      <c r="C11" s="230"/>
      <c r="D11" s="231">
        <f>B11+C11</f>
        <v>1633.176</v>
      </c>
      <c r="E11" s="232"/>
      <c r="F11" s="232"/>
      <c r="G11" s="232"/>
      <c r="H11" s="232"/>
      <c r="I11" s="232"/>
      <c r="J11" s="233"/>
      <c r="K11" s="232"/>
      <c r="L11" s="234"/>
      <c r="M11" s="235"/>
      <c r="N11" s="236"/>
    </row>
    <row r="12" spans="1:14" ht="12" customHeight="1" hidden="1">
      <c r="A12" s="237" t="s">
        <v>135</v>
      </c>
      <c r="B12" s="296"/>
      <c r="C12" s="235"/>
      <c r="D12" s="231">
        <f aca="true" t="shared" si="0" ref="D12:D57">B12+C12</f>
        <v>0</v>
      </c>
      <c r="E12" s="238"/>
      <c r="F12" s="238"/>
      <c r="G12" s="238"/>
      <c r="H12" s="238"/>
      <c r="I12" s="238"/>
      <c r="J12" s="239"/>
      <c r="K12" s="238"/>
      <c r="L12" s="234"/>
      <c r="M12" s="235"/>
      <c r="N12" s="240"/>
    </row>
    <row r="13" spans="1:14" ht="15.75">
      <c r="A13" s="208" t="s">
        <v>136</v>
      </c>
      <c r="B13" s="296">
        <v>1360.98</v>
      </c>
      <c r="C13" s="230"/>
      <c r="D13" s="231">
        <f t="shared" si="0"/>
        <v>1360.98</v>
      </c>
      <c r="E13" s="241"/>
      <c r="F13" s="241"/>
      <c r="G13" s="232"/>
      <c r="H13" s="232"/>
      <c r="I13" s="232"/>
      <c r="J13" s="233"/>
      <c r="K13" s="232"/>
      <c r="L13" s="234"/>
      <c r="M13" s="235"/>
      <c r="N13" s="236"/>
    </row>
    <row r="14" spans="1:14" ht="0.75" customHeight="1" hidden="1">
      <c r="A14" s="237" t="s">
        <v>137</v>
      </c>
      <c r="B14" s="296"/>
      <c r="C14" s="235"/>
      <c r="D14" s="231">
        <f t="shared" si="0"/>
        <v>0</v>
      </c>
      <c r="E14" s="238"/>
      <c r="F14" s="238"/>
      <c r="G14" s="238"/>
      <c r="H14" s="238"/>
      <c r="I14" s="238"/>
      <c r="J14" s="239"/>
      <c r="K14" s="238"/>
      <c r="L14" s="234"/>
      <c r="M14" s="235"/>
      <c r="N14" s="240"/>
    </row>
    <row r="15" spans="1:14" ht="15" customHeight="1">
      <c r="A15" s="208" t="s">
        <v>138</v>
      </c>
      <c r="B15" s="296">
        <v>1497.078</v>
      </c>
      <c r="C15" s="230"/>
      <c r="D15" s="231">
        <f t="shared" si="0"/>
        <v>1497.078</v>
      </c>
      <c r="E15" s="241"/>
      <c r="F15" s="241"/>
      <c r="G15" s="232"/>
      <c r="H15" s="232"/>
      <c r="I15" s="232"/>
      <c r="J15" s="233"/>
      <c r="K15" s="232"/>
      <c r="L15" s="234"/>
      <c r="M15" s="235"/>
      <c r="N15" s="236"/>
    </row>
    <row r="16" spans="1:14" ht="0.75" customHeight="1" hidden="1">
      <c r="A16" s="237" t="s">
        <v>139</v>
      </c>
      <c r="B16" s="296"/>
      <c r="C16" s="235"/>
      <c r="D16" s="231">
        <f t="shared" si="0"/>
        <v>0</v>
      </c>
      <c r="E16" s="238"/>
      <c r="F16" s="238"/>
      <c r="G16" s="238"/>
      <c r="H16" s="238"/>
      <c r="I16" s="238"/>
      <c r="J16" s="239"/>
      <c r="K16" s="238"/>
      <c r="L16" s="234"/>
      <c r="M16" s="235"/>
      <c r="N16" s="240"/>
    </row>
    <row r="17" spans="1:14" ht="15.75">
      <c r="A17" s="208" t="s">
        <v>140</v>
      </c>
      <c r="B17" s="296">
        <v>816.588</v>
      </c>
      <c r="C17" s="230"/>
      <c r="D17" s="231">
        <f t="shared" si="0"/>
        <v>816.588</v>
      </c>
      <c r="E17" s="241"/>
      <c r="F17" s="241"/>
      <c r="G17" s="232"/>
      <c r="H17" s="232"/>
      <c r="I17" s="232"/>
      <c r="J17" s="233"/>
      <c r="K17" s="232"/>
      <c r="L17" s="234"/>
      <c r="M17" s="235"/>
      <c r="N17" s="236"/>
    </row>
    <row r="18" spans="1:14" ht="1.5" customHeight="1" hidden="1">
      <c r="A18" s="237" t="s">
        <v>141</v>
      </c>
      <c r="B18" s="296"/>
      <c r="C18" s="235"/>
      <c r="D18" s="231">
        <f t="shared" si="0"/>
        <v>0</v>
      </c>
      <c r="E18" s="238"/>
      <c r="F18" s="238"/>
      <c r="G18" s="238"/>
      <c r="H18" s="238"/>
      <c r="I18" s="238"/>
      <c r="J18" s="239"/>
      <c r="K18" s="238"/>
      <c r="L18" s="234"/>
      <c r="M18" s="235"/>
      <c r="N18" s="240"/>
    </row>
    <row r="19" spans="1:14" ht="15" customHeight="1">
      <c r="A19" s="208" t="s">
        <v>142</v>
      </c>
      <c r="B19" s="296">
        <v>2722</v>
      </c>
      <c r="C19" s="230"/>
      <c r="D19" s="231">
        <f t="shared" si="0"/>
        <v>2722</v>
      </c>
      <c r="E19" s="241"/>
      <c r="F19" s="241"/>
      <c r="G19" s="232"/>
      <c r="H19" s="232"/>
      <c r="I19" s="232"/>
      <c r="J19" s="233"/>
      <c r="K19" s="232"/>
      <c r="L19" s="234"/>
      <c r="M19" s="235"/>
      <c r="N19" s="236"/>
    </row>
    <row r="20" spans="1:14" ht="15.75" customHeight="1" hidden="1">
      <c r="A20" s="237" t="s">
        <v>143</v>
      </c>
      <c r="B20" s="296"/>
      <c r="C20" s="235"/>
      <c r="D20" s="231">
        <f t="shared" si="0"/>
        <v>0</v>
      </c>
      <c r="E20" s="238"/>
      <c r="F20" s="238"/>
      <c r="G20" s="238"/>
      <c r="H20" s="238"/>
      <c r="I20" s="238"/>
      <c r="J20" s="239"/>
      <c r="K20" s="238"/>
      <c r="L20" s="234"/>
      <c r="M20" s="235"/>
      <c r="N20" s="240"/>
    </row>
    <row r="21" spans="1:14" ht="15.75">
      <c r="A21" s="208" t="s">
        <v>144</v>
      </c>
      <c r="B21" s="296">
        <v>1088.784</v>
      </c>
      <c r="C21" s="230"/>
      <c r="D21" s="231">
        <f t="shared" si="0"/>
        <v>1088.784</v>
      </c>
      <c r="E21" s="241"/>
      <c r="F21" s="241"/>
      <c r="G21" s="232"/>
      <c r="H21" s="232"/>
      <c r="I21" s="232"/>
      <c r="J21" s="233"/>
      <c r="K21" s="232"/>
      <c r="L21" s="234"/>
      <c r="M21" s="235"/>
      <c r="N21" s="236"/>
    </row>
    <row r="22" spans="1:14" ht="0.75" customHeight="1" hidden="1">
      <c r="A22" s="237" t="s">
        <v>145</v>
      </c>
      <c r="B22" s="296"/>
      <c r="C22" s="235"/>
      <c r="D22" s="231">
        <f t="shared" si="0"/>
        <v>0</v>
      </c>
      <c r="E22" s="238"/>
      <c r="F22" s="238"/>
      <c r="G22" s="238"/>
      <c r="H22" s="238"/>
      <c r="I22" s="238"/>
      <c r="J22" s="239"/>
      <c r="K22" s="238"/>
      <c r="L22" s="234"/>
      <c r="M22" s="235"/>
      <c r="N22" s="240"/>
    </row>
    <row r="23" spans="1:14" ht="9.75" customHeight="1" hidden="1">
      <c r="A23" s="237" t="s">
        <v>146</v>
      </c>
      <c r="B23" s="296"/>
      <c r="C23" s="242"/>
      <c r="D23" s="231">
        <f t="shared" si="0"/>
        <v>0</v>
      </c>
      <c r="E23" s="238"/>
      <c r="F23" s="238"/>
      <c r="G23" s="238"/>
      <c r="H23" s="238"/>
      <c r="I23" s="238"/>
      <c r="J23" s="239"/>
      <c r="K23" s="238"/>
      <c r="L23" s="243"/>
      <c r="M23" s="235"/>
      <c r="N23" s="240"/>
    </row>
    <row r="24" spans="1:14" ht="0.75" customHeight="1" hidden="1">
      <c r="A24" s="237" t="s">
        <v>147</v>
      </c>
      <c r="B24" s="296"/>
      <c r="C24" s="244"/>
      <c r="D24" s="231">
        <f t="shared" si="0"/>
        <v>0</v>
      </c>
      <c r="E24" s="239"/>
      <c r="F24" s="239"/>
      <c r="G24" s="239"/>
      <c r="H24" s="239"/>
      <c r="I24" s="239"/>
      <c r="J24" s="239"/>
      <c r="K24" s="239"/>
      <c r="L24" s="245"/>
      <c r="M24" s="246"/>
      <c r="N24" s="240"/>
    </row>
    <row r="25" spans="1:14" ht="15.75">
      <c r="A25" s="208" t="s">
        <v>148</v>
      </c>
      <c r="B25" s="296">
        <v>1224.882</v>
      </c>
      <c r="C25" s="247"/>
      <c r="D25" s="231">
        <f t="shared" si="0"/>
        <v>1224.882</v>
      </c>
      <c r="E25" s="232"/>
      <c r="F25" s="232"/>
      <c r="G25" s="232"/>
      <c r="H25" s="232"/>
      <c r="I25" s="232"/>
      <c r="J25" s="233"/>
      <c r="K25" s="232"/>
      <c r="L25" s="245"/>
      <c r="M25" s="246"/>
      <c r="N25" s="236"/>
    </row>
    <row r="26" spans="1:14" ht="0.75" customHeight="1" hidden="1">
      <c r="A26" s="237" t="s">
        <v>149</v>
      </c>
      <c r="B26" s="296"/>
      <c r="C26" s="244"/>
      <c r="D26" s="231">
        <f t="shared" si="0"/>
        <v>0</v>
      </c>
      <c r="E26" s="239"/>
      <c r="F26" s="239"/>
      <c r="G26" s="239"/>
      <c r="H26" s="239"/>
      <c r="I26" s="239"/>
      <c r="J26" s="239"/>
      <c r="K26" s="239"/>
      <c r="L26" s="245"/>
      <c r="M26" s="246"/>
      <c r="N26" s="240"/>
    </row>
    <row r="27" spans="1:14" ht="15.75">
      <c r="A27" s="208" t="s">
        <v>150</v>
      </c>
      <c r="B27" s="296">
        <v>952.686</v>
      </c>
      <c r="C27" s="247"/>
      <c r="D27" s="231">
        <f t="shared" si="0"/>
        <v>952.686</v>
      </c>
      <c r="E27" s="232"/>
      <c r="F27" s="232"/>
      <c r="G27" s="232"/>
      <c r="H27" s="232"/>
      <c r="I27" s="232"/>
      <c r="J27" s="233"/>
      <c r="K27" s="232"/>
      <c r="L27" s="245"/>
      <c r="M27" s="246"/>
      <c r="N27" s="236"/>
    </row>
    <row r="28" spans="1:14" ht="0.75" customHeight="1" hidden="1">
      <c r="A28" s="237" t="s">
        <v>151</v>
      </c>
      <c r="B28" s="296"/>
      <c r="C28" s="248"/>
      <c r="D28" s="231">
        <f t="shared" si="0"/>
        <v>0</v>
      </c>
      <c r="E28" s="249"/>
      <c r="F28" s="249"/>
      <c r="G28" s="249"/>
      <c r="H28" s="249"/>
      <c r="I28" s="249"/>
      <c r="J28" s="250"/>
      <c r="K28" s="249"/>
      <c r="L28" s="251"/>
      <c r="M28" s="252"/>
      <c r="N28" s="240"/>
    </row>
    <row r="29" spans="1:14" ht="8.25" customHeight="1" hidden="1">
      <c r="A29" s="237" t="s">
        <v>152</v>
      </c>
      <c r="B29" s="296"/>
      <c r="C29" s="253"/>
      <c r="D29" s="231">
        <f t="shared" si="0"/>
        <v>0</v>
      </c>
      <c r="E29" s="250"/>
      <c r="F29" s="250"/>
      <c r="G29" s="250"/>
      <c r="H29" s="250"/>
      <c r="I29" s="250"/>
      <c r="J29" s="250"/>
      <c r="K29" s="250"/>
      <c r="L29" s="254"/>
      <c r="M29" s="255"/>
      <c r="N29" s="240"/>
    </row>
    <row r="30" spans="1:14" ht="11.25" customHeight="1" hidden="1">
      <c r="A30" s="237" t="s">
        <v>153</v>
      </c>
      <c r="B30" s="296"/>
      <c r="C30" s="253"/>
      <c r="D30" s="231">
        <f t="shared" si="0"/>
        <v>0</v>
      </c>
      <c r="E30" s="250"/>
      <c r="F30" s="250"/>
      <c r="G30" s="250"/>
      <c r="H30" s="250"/>
      <c r="I30" s="250"/>
      <c r="J30" s="250"/>
      <c r="K30" s="250"/>
      <c r="L30" s="254"/>
      <c r="M30" s="255"/>
      <c r="N30" s="240"/>
    </row>
    <row r="31" spans="1:14" ht="9.75" customHeight="1" hidden="1">
      <c r="A31" s="256" t="s">
        <v>154</v>
      </c>
      <c r="B31" s="296"/>
      <c r="C31" s="253"/>
      <c r="D31" s="231">
        <f t="shared" si="0"/>
        <v>0</v>
      </c>
      <c r="E31" s="250"/>
      <c r="F31" s="250"/>
      <c r="G31" s="250"/>
      <c r="H31" s="250"/>
      <c r="I31" s="250"/>
      <c r="J31" s="250"/>
      <c r="K31" s="250"/>
      <c r="L31" s="254"/>
      <c r="M31" s="255"/>
      <c r="N31" s="240"/>
    </row>
    <row r="32" spans="1:14" ht="14.25" customHeight="1">
      <c r="A32" s="257" t="s">
        <v>155</v>
      </c>
      <c r="B32" s="296">
        <v>1360.98</v>
      </c>
      <c r="C32" s="258"/>
      <c r="D32" s="231">
        <f t="shared" si="0"/>
        <v>1360.98</v>
      </c>
      <c r="E32" s="259"/>
      <c r="F32" s="259"/>
      <c r="G32" s="232"/>
      <c r="H32" s="232"/>
      <c r="I32" s="232"/>
      <c r="J32" s="233"/>
      <c r="K32" s="232"/>
      <c r="L32" s="260"/>
      <c r="M32" s="255"/>
      <c r="N32" s="236"/>
    </row>
    <row r="33" spans="1:14" ht="0.75" customHeight="1" hidden="1">
      <c r="A33" s="256" t="s">
        <v>156</v>
      </c>
      <c r="B33" s="296"/>
      <c r="C33" s="43"/>
      <c r="D33" s="231">
        <f t="shared" si="0"/>
        <v>0</v>
      </c>
      <c r="E33" s="159"/>
      <c r="F33" s="159"/>
      <c r="G33" s="159"/>
      <c r="H33" s="159"/>
      <c r="I33" s="159"/>
      <c r="J33" s="159"/>
      <c r="K33" s="159"/>
      <c r="L33" s="138"/>
      <c r="M33" s="261"/>
      <c r="N33" s="240"/>
    </row>
    <row r="34" spans="1:14" ht="11.25" customHeight="1" hidden="1">
      <c r="A34" s="256" t="s">
        <v>157</v>
      </c>
      <c r="B34" s="296"/>
      <c r="C34" s="262"/>
      <c r="D34" s="231">
        <f t="shared" si="0"/>
        <v>0</v>
      </c>
      <c r="E34" s="263"/>
      <c r="F34" s="263"/>
      <c r="G34" s="263"/>
      <c r="H34" s="263"/>
      <c r="I34" s="263"/>
      <c r="J34" s="264"/>
      <c r="K34" s="263"/>
      <c r="L34" s="265"/>
      <c r="M34" s="266"/>
      <c r="N34" s="240"/>
    </row>
    <row r="35" spans="1:14" ht="10.5" customHeight="1" hidden="1">
      <c r="A35" s="256" t="s">
        <v>158</v>
      </c>
      <c r="B35" s="296"/>
      <c r="C35" s="267"/>
      <c r="D35" s="231">
        <f t="shared" si="0"/>
        <v>0</v>
      </c>
      <c r="E35" s="268"/>
      <c r="F35" s="268"/>
      <c r="G35" s="268"/>
      <c r="H35" s="268"/>
      <c r="I35" s="268"/>
      <c r="J35" s="159"/>
      <c r="K35" s="268"/>
      <c r="L35" s="269"/>
      <c r="M35" s="270"/>
      <c r="N35" s="240"/>
    </row>
    <row r="36" spans="1:14" ht="15.75">
      <c r="A36" s="257" t="s">
        <v>185</v>
      </c>
      <c r="B36" s="296">
        <v>680.49</v>
      </c>
      <c r="C36" s="271"/>
      <c r="D36" s="231">
        <f t="shared" si="0"/>
        <v>680.49</v>
      </c>
      <c r="E36" s="272"/>
      <c r="F36" s="272"/>
      <c r="G36" s="232"/>
      <c r="H36" s="232"/>
      <c r="I36" s="232"/>
      <c r="J36" s="233"/>
      <c r="K36" s="232"/>
      <c r="L36" s="269"/>
      <c r="M36" s="270"/>
      <c r="N36" s="236"/>
    </row>
    <row r="37" spans="1:14" ht="15" customHeight="1">
      <c r="A37" s="257" t="s">
        <v>160</v>
      </c>
      <c r="B37" s="296">
        <v>680.49</v>
      </c>
      <c r="C37" s="271"/>
      <c r="D37" s="231">
        <f t="shared" si="0"/>
        <v>680.49</v>
      </c>
      <c r="E37" s="272"/>
      <c r="F37" s="272"/>
      <c r="G37" s="232"/>
      <c r="H37" s="232"/>
      <c r="I37" s="232"/>
      <c r="J37" s="233"/>
      <c r="K37" s="232"/>
      <c r="L37" s="269"/>
      <c r="M37" s="270"/>
      <c r="N37" s="236"/>
    </row>
    <row r="38" spans="1:14" ht="0.75" customHeight="1" hidden="1">
      <c r="A38" s="256" t="s">
        <v>161</v>
      </c>
      <c r="B38" s="296"/>
      <c r="C38" s="267"/>
      <c r="D38" s="231">
        <f t="shared" si="0"/>
        <v>0</v>
      </c>
      <c r="E38" s="268"/>
      <c r="F38" s="268"/>
      <c r="G38" s="268"/>
      <c r="H38" s="268"/>
      <c r="I38" s="268"/>
      <c r="J38" s="159"/>
      <c r="K38" s="268"/>
      <c r="L38" s="269"/>
      <c r="M38" s="270"/>
      <c r="N38" s="240"/>
    </row>
    <row r="39" spans="1:14" ht="11.25" customHeight="1" hidden="1">
      <c r="A39" s="256" t="s">
        <v>162</v>
      </c>
      <c r="B39" s="296"/>
      <c r="C39" s="267"/>
      <c r="D39" s="231">
        <f t="shared" si="0"/>
        <v>0</v>
      </c>
      <c r="E39" s="268"/>
      <c r="F39" s="268"/>
      <c r="G39" s="268"/>
      <c r="H39" s="268"/>
      <c r="I39" s="268"/>
      <c r="J39" s="159"/>
      <c r="K39" s="268"/>
      <c r="L39" s="269"/>
      <c r="M39" s="270"/>
      <c r="N39" s="240"/>
    </row>
    <row r="40" spans="1:14" ht="11.25" customHeight="1" hidden="1">
      <c r="A40" s="256" t="s">
        <v>163</v>
      </c>
      <c r="B40" s="296"/>
      <c r="C40" s="267"/>
      <c r="D40" s="231">
        <f t="shared" si="0"/>
        <v>0</v>
      </c>
      <c r="E40" s="268"/>
      <c r="F40" s="268"/>
      <c r="G40" s="268"/>
      <c r="H40" s="268"/>
      <c r="I40" s="268"/>
      <c r="J40" s="159"/>
      <c r="K40" s="268"/>
      <c r="L40" s="269"/>
      <c r="M40" s="270"/>
      <c r="N40" s="240"/>
    </row>
    <row r="41" spans="1:14" ht="10.5" customHeight="1" hidden="1">
      <c r="A41" s="256" t="s">
        <v>164</v>
      </c>
      <c r="B41" s="296"/>
      <c r="C41" s="267"/>
      <c r="D41" s="231">
        <f t="shared" si="0"/>
        <v>0</v>
      </c>
      <c r="E41" s="268"/>
      <c r="F41" s="268"/>
      <c r="G41" s="268"/>
      <c r="H41" s="268"/>
      <c r="I41" s="268"/>
      <c r="J41" s="159"/>
      <c r="K41" s="268"/>
      <c r="L41" s="269"/>
      <c r="M41" s="270"/>
      <c r="N41" s="240"/>
    </row>
    <row r="42" spans="1:14" ht="15" customHeight="1">
      <c r="A42" s="257" t="s">
        <v>186</v>
      </c>
      <c r="B42" s="296">
        <v>1088.784</v>
      </c>
      <c r="C42" s="271"/>
      <c r="D42" s="231">
        <f t="shared" si="0"/>
        <v>1088.784</v>
      </c>
      <c r="E42" s="272"/>
      <c r="F42" s="272"/>
      <c r="G42" s="232"/>
      <c r="H42" s="232"/>
      <c r="I42" s="232"/>
      <c r="J42" s="233"/>
      <c r="K42" s="232"/>
      <c r="L42" s="269"/>
      <c r="M42" s="270"/>
      <c r="N42" s="236"/>
    </row>
    <row r="43" spans="1:14" ht="12" customHeight="1" hidden="1">
      <c r="A43" s="256" t="s">
        <v>166</v>
      </c>
      <c r="B43" s="296"/>
      <c r="C43" s="267"/>
      <c r="D43" s="231">
        <f t="shared" si="0"/>
        <v>0</v>
      </c>
      <c r="E43" s="268"/>
      <c r="F43" s="268"/>
      <c r="G43" s="268"/>
      <c r="H43" s="268"/>
      <c r="I43" s="268"/>
      <c r="J43" s="159"/>
      <c r="K43" s="268"/>
      <c r="L43" s="269"/>
      <c r="M43" s="270"/>
      <c r="N43" s="240"/>
    </row>
    <row r="44" spans="1:14" ht="10.5" customHeight="1" hidden="1">
      <c r="A44" s="256" t="s">
        <v>167</v>
      </c>
      <c r="B44" s="296"/>
      <c r="C44" s="267"/>
      <c r="D44" s="231">
        <f t="shared" si="0"/>
        <v>0</v>
      </c>
      <c r="E44" s="268"/>
      <c r="F44" s="268"/>
      <c r="G44" s="268"/>
      <c r="H44" s="268"/>
      <c r="I44" s="268"/>
      <c r="J44" s="159"/>
      <c r="K44" s="268"/>
      <c r="L44" s="269"/>
      <c r="M44" s="270"/>
      <c r="N44" s="240"/>
    </row>
    <row r="45" spans="1:14" ht="12.75" customHeight="1" hidden="1">
      <c r="A45" s="256" t="s">
        <v>168</v>
      </c>
      <c r="B45" s="296"/>
      <c r="C45" s="267"/>
      <c r="D45" s="231">
        <f t="shared" si="0"/>
        <v>0</v>
      </c>
      <c r="E45" s="268"/>
      <c r="F45" s="268"/>
      <c r="G45" s="268"/>
      <c r="H45" s="268"/>
      <c r="I45" s="268"/>
      <c r="J45" s="159"/>
      <c r="K45" s="268"/>
      <c r="L45" s="269"/>
      <c r="M45" s="270"/>
      <c r="N45" s="240"/>
    </row>
    <row r="46" spans="1:14" ht="15.75" customHeight="1" hidden="1">
      <c r="A46" s="256" t="s">
        <v>169</v>
      </c>
      <c r="B46" s="296"/>
      <c r="C46" s="267"/>
      <c r="D46" s="231">
        <f t="shared" si="0"/>
        <v>0</v>
      </c>
      <c r="E46" s="268"/>
      <c r="F46" s="268"/>
      <c r="G46" s="268"/>
      <c r="H46" s="268"/>
      <c r="I46" s="268"/>
      <c r="J46" s="159"/>
      <c r="K46" s="268"/>
      <c r="L46" s="269"/>
      <c r="M46" s="267"/>
      <c r="N46" s="273"/>
    </row>
    <row r="47" spans="1:14" ht="12" customHeight="1" hidden="1">
      <c r="A47" s="256" t="s">
        <v>170</v>
      </c>
      <c r="B47" s="296"/>
      <c r="C47" s="267"/>
      <c r="D47" s="231">
        <f t="shared" si="0"/>
        <v>0</v>
      </c>
      <c r="E47" s="268"/>
      <c r="F47" s="268"/>
      <c r="G47" s="268"/>
      <c r="H47" s="268"/>
      <c r="I47" s="268"/>
      <c r="J47" s="159"/>
      <c r="K47" s="268"/>
      <c r="L47" s="269"/>
      <c r="M47" s="267"/>
      <c r="N47" s="273"/>
    </row>
    <row r="48" spans="1:14" ht="9.75" customHeight="1" hidden="1">
      <c r="A48" s="256" t="s">
        <v>171</v>
      </c>
      <c r="B48" s="296"/>
      <c r="C48" s="267"/>
      <c r="D48" s="231">
        <f t="shared" si="0"/>
        <v>0</v>
      </c>
      <c r="E48" s="268"/>
      <c r="F48" s="268"/>
      <c r="G48" s="268"/>
      <c r="H48" s="268"/>
      <c r="I48" s="268"/>
      <c r="J48" s="159"/>
      <c r="K48" s="268"/>
      <c r="L48" s="269"/>
      <c r="M48" s="267"/>
      <c r="N48" s="273"/>
    </row>
    <row r="49" spans="1:14" ht="13.5" customHeight="1" hidden="1">
      <c r="A49" s="256" t="s">
        <v>172</v>
      </c>
      <c r="B49" s="296"/>
      <c r="C49" s="267"/>
      <c r="D49" s="231">
        <f t="shared" si="0"/>
        <v>0</v>
      </c>
      <c r="E49" s="268"/>
      <c r="F49" s="268"/>
      <c r="G49" s="268"/>
      <c r="H49" s="268"/>
      <c r="I49" s="268"/>
      <c r="J49" s="159"/>
      <c r="K49" s="268"/>
      <c r="L49" s="269"/>
      <c r="M49" s="267"/>
      <c r="N49" s="273"/>
    </row>
    <row r="50" spans="1:14" ht="0.75" customHeight="1" hidden="1">
      <c r="A50" s="257" t="s">
        <v>173</v>
      </c>
      <c r="B50" s="296"/>
      <c r="C50" s="271"/>
      <c r="D50" s="231">
        <f t="shared" si="0"/>
        <v>0</v>
      </c>
      <c r="E50" s="272"/>
      <c r="F50" s="272"/>
      <c r="G50" s="232"/>
      <c r="H50" s="232"/>
      <c r="I50" s="232"/>
      <c r="J50" s="233"/>
      <c r="K50" s="232"/>
      <c r="L50" s="269"/>
      <c r="M50" s="267"/>
      <c r="N50" s="274"/>
    </row>
    <row r="51" spans="1:14" ht="9" customHeight="1" hidden="1">
      <c r="A51" s="256" t="s">
        <v>174</v>
      </c>
      <c r="B51" s="296"/>
      <c r="C51" s="267"/>
      <c r="D51" s="231">
        <f t="shared" si="0"/>
        <v>0</v>
      </c>
      <c r="E51" s="268"/>
      <c r="F51" s="268"/>
      <c r="G51" s="268"/>
      <c r="H51" s="268"/>
      <c r="I51" s="268"/>
      <c r="J51" s="159"/>
      <c r="K51" s="268"/>
      <c r="L51" s="269"/>
      <c r="M51" s="267"/>
      <c r="N51" s="273"/>
    </row>
    <row r="52" spans="1:14" ht="15" customHeight="1" hidden="1">
      <c r="A52" s="256" t="s">
        <v>175</v>
      </c>
      <c r="B52" s="296"/>
      <c r="C52" s="267"/>
      <c r="D52" s="231">
        <f t="shared" si="0"/>
        <v>0</v>
      </c>
      <c r="E52" s="268"/>
      <c r="F52" s="268"/>
      <c r="G52" s="268"/>
      <c r="H52" s="268"/>
      <c r="I52" s="268"/>
      <c r="J52" s="159"/>
      <c r="K52" s="268"/>
      <c r="L52" s="269"/>
      <c r="M52" s="270"/>
      <c r="N52" s="240"/>
    </row>
    <row r="53" spans="1:14" ht="11.25" customHeight="1" hidden="1">
      <c r="A53" s="256" t="s">
        <v>176</v>
      </c>
      <c r="B53" s="296"/>
      <c r="C53" s="267"/>
      <c r="D53" s="231">
        <f t="shared" si="0"/>
        <v>0</v>
      </c>
      <c r="E53" s="268"/>
      <c r="F53" s="268"/>
      <c r="G53" s="268"/>
      <c r="H53" s="268"/>
      <c r="I53" s="268"/>
      <c r="J53" s="159"/>
      <c r="K53" s="268"/>
      <c r="L53" s="269"/>
      <c r="M53" s="270"/>
      <c r="N53" s="240"/>
    </row>
    <row r="54" spans="1:14" ht="15" customHeight="1" hidden="1">
      <c r="A54" s="256" t="s">
        <v>177</v>
      </c>
      <c r="B54" s="296"/>
      <c r="C54" s="267"/>
      <c r="D54" s="231">
        <f t="shared" si="0"/>
        <v>0</v>
      </c>
      <c r="E54" s="268"/>
      <c r="F54" s="268"/>
      <c r="G54" s="268"/>
      <c r="H54" s="268"/>
      <c r="I54" s="268"/>
      <c r="J54" s="159"/>
      <c r="K54" s="268"/>
      <c r="L54" s="269"/>
      <c r="M54" s="270"/>
      <c r="N54" s="240"/>
    </row>
    <row r="55" spans="1:14" ht="12" customHeight="1" hidden="1">
      <c r="A55" s="237" t="s">
        <v>178</v>
      </c>
      <c r="B55" s="296"/>
      <c r="C55" s="267"/>
      <c r="D55" s="231">
        <f t="shared" si="0"/>
        <v>0</v>
      </c>
      <c r="E55" s="268"/>
      <c r="F55" s="268"/>
      <c r="G55" s="268"/>
      <c r="H55" s="268"/>
      <c r="I55" s="268"/>
      <c r="J55" s="159"/>
      <c r="K55" s="268"/>
      <c r="L55" s="269"/>
      <c r="M55" s="267"/>
      <c r="N55" s="240"/>
    </row>
    <row r="56" spans="1:14" ht="16.5" thickBot="1">
      <c r="A56" s="217" t="s">
        <v>187</v>
      </c>
      <c r="B56" s="296">
        <v>1361</v>
      </c>
      <c r="C56" s="275">
        <v>10000</v>
      </c>
      <c r="D56" s="276">
        <f t="shared" si="0"/>
        <v>11361</v>
      </c>
      <c r="E56" s="272"/>
      <c r="F56" s="272"/>
      <c r="G56" s="232"/>
      <c r="H56" s="232"/>
      <c r="I56" s="232"/>
      <c r="J56" s="159"/>
      <c r="K56" s="232"/>
      <c r="L56" s="277"/>
      <c r="M56" s="278"/>
      <c r="N56" s="279"/>
    </row>
    <row r="57" spans="1:14" ht="16.5" thickBot="1">
      <c r="A57" s="280" t="s">
        <v>180</v>
      </c>
      <c r="B57" s="281">
        <f>SUM(B11:B56)</f>
        <v>16467.917999999998</v>
      </c>
      <c r="C57" s="281">
        <f>SUM(C11:C56)</f>
        <v>10000</v>
      </c>
      <c r="D57" s="287">
        <f t="shared" si="0"/>
        <v>26467.917999999998</v>
      </c>
      <c r="E57" s="282"/>
      <c r="F57" s="282"/>
      <c r="G57" s="282"/>
      <c r="H57" s="282"/>
      <c r="I57" s="282"/>
      <c r="J57" s="283"/>
      <c r="K57" s="282"/>
      <c r="L57" s="284"/>
      <c r="M57" s="285"/>
      <c r="N57" s="286"/>
    </row>
  </sheetData>
  <mergeCells count="17">
    <mergeCell ref="C3:O3"/>
    <mergeCell ref="A7:D7"/>
    <mergeCell ref="C1:E1"/>
    <mergeCell ref="C2:E2"/>
    <mergeCell ref="A9:A10"/>
    <mergeCell ref="B9:B10"/>
    <mergeCell ref="C9:C10"/>
    <mergeCell ref="D9:D10"/>
    <mergeCell ref="E9:E10"/>
    <mergeCell ref="F9:F10"/>
    <mergeCell ref="I9:I10"/>
    <mergeCell ref="J9:J10"/>
    <mergeCell ref="O9:P9"/>
    <mergeCell ref="K9:K10"/>
    <mergeCell ref="L9:L10"/>
    <mergeCell ref="M9:M10"/>
    <mergeCell ref="N9:N10"/>
  </mergeCells>
  <printOptions/>
  <pageMargins left="0.984251968503937" right="0.5905511811023623" top="0.7874015748031497" bottom="0.7874015748031497" header="0" footer="0"/>
  <pageSetup horizontalDpi="600" verticalDpi="600" orientation="portrait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Демянчук Алла Михайловна</cp:lastModifiedBy>
  <cp:lastPrinted>2009-01-23T12:13:41Z</cp:lastPrinted>
  <dcterms:created xsi:type="dcterms:W3CDTF">2003-12-10T21:35:36Z</dcterms:created>
  <dcterms:modified xsi:type="dcterms:W3CDTF">2009-01-27T07:51:22Z</dcterms:modified>
  <cp:category/>
  <cp:version/>
  <cp:contentType/>
  <cp:contentStatus/>
</cp:coreProperties>
</file>