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11" yWindow="90" windowWidth="11280" windowHeight="6885" activeTab="1"/>
  </bookViews>
  <sheets>
    <sheet name="№1" sheetId="1" r:id="rId1"/>
    <sheet name="№2" sheetId="2" r:id="rId2"/>
    <sheet name="№3" sheetId="3" r:id="rId3"/>
    <sheet name="№4" sheetId="4" r:id="rId4"/>
    <sheet name="№5" sheetId="5" r:id="rId5"/>
    <sheet name="№6" sheetId="6" r:id="rId6"/>
    <sheet name="№7" sheetId="7" r:id="rId7"/>
  </sheets>
  <externalReferences>
    <externalReference r:id="rId10"/>
    <externalReference r:id="rId11"/>
  </externalReferences>
  <definedNames>
    <definedName name="_xlnm.Print_Area" localSheetId="1">'№2'!$A$1:$K$99</definedName>
    <definedName name="_xlnm.Print_Area" localSheetId="2">'№3'!$A$1:$K$160</definedName>
    <definedName name="_xlnm.Print_Area" localSheetId="3">'№4'!$A$1:$N$58</definedName>
    <definedName name="_xlnm.Print_Area" localSheetId="4">'№5'!$A$1:$D$22</definedName>
    <definedName name="_xlnm.Print_Area" localSheetId="5">'№6'!$A$1:$E$12</definedName>
    <definedName name="_xlnm.Print_Area" localSheetId="6">'№7'!$A$1:$V$60</definedName>
  </definedNames>
  <calcPr fullCalcOnLoad="1"/>
</workbook>
</file>

<file path=xl/sharedStrings.xml><?xml version="1.0" encoding="utf-8"?>
<sst xmlns="http://schemas.openxmlformats.org/spreadsheetml/2006/main" count="789" uniqueCount="471">
  <si>
    <t>центр переподготовки и повышения квалификации работников органов государственной власти, органов  местного самоуправления, руководителей государственных предприятий, учреждений и организаций</t>
  </si>
  <si>
    <t>Здравоохранение (содержание лечебно-профилактических учреждений, проведение мероприятий и выполнение программ), в том числе</t>
  </si>
  <si>
    <t>Региональные программы и централизованные мероприятия</t>
  </si>
  <si>
    <t xml:space="preserve">Образование (высшие учреждения образования І-ІІ уровней аккредитации; прочие учреждения и мероприятия последипломного образования) </t>
  </si>
  <si>
    <t>Главное управление труда и социальной защиты населения</t>
  </si>
  <si>
    <t>Управление по делам семьи и молодежи</t>
  </si>
  <si>
    <t>070401</t>
  </si>
  <si>
    <t>Внешкольные учреждения образования, мероприятия по  внешкольной работе с детьми (мероприятия по летнему оздоровлению детей и студентов)</t>
  </si>
  <si>
    <t>Социальные программы и мероприятия государственных органов по делам молодежи</t>
  </si>
  <si>
    <t>110502</t>
  </si>
  <si>
    <t>Другие культурно-образовательные учреждения и мероприятия</t>
  </si>
  <si>
    <t>150101</t>
  </si>
  <si>
    <t>прочие мероприятия в сфере электротранспорта</t>
  </si>
  <si>
    <t>Филармонии, музыкальные коллективы и ансамбли  и прочие меприятия и учреждения по искусству</t>
  </si>
  <si>
    <t xml:space="preserve">Культура                                                                                                                                                            Прочие мероприятия и учреждения в области исскуства и культуры  </t>
  </si>
  <si>
    <t>Образование (высшие учреждения образования І-ІІ уровней аккредитации; прочие учреждения, мероприятия последипломного образования), в том числе</t>
  </si>
  <si>
    <t>стипендии одаренным учащимся и студентам</t>
  </si>
  <si>
    <t>120201</t>
  </si>
  <si>
    <t>Физическая культура и спорт (содержание учреждений физкультуры и спорта, проведение учебно-тренировочных сборов, соревнований и мероприятий)</t>
  </si>
  <si>
    <t>Высшие учреждения образования І-ІІ уровней аккредитации</t>
  </si>
  <si>
    <t>080400</t>
  </si>
  <si>
    <t xml:space="preserve">Строительство и приобретение жилья военнослужащим, лицам рядового и руководящего состава криминально-исполнительной системы и органов внутренних дел, в том числе уволенным в запас или отставку по состоянию здоровья, возрасту,выслугой лет и в связи с сокращением штатов, которые находятся на квартирном учете по месту проживания, членам семей из числа этих лиц, которые погибли во время выполнения ими служебных обязанностей, а также участникам боевых действий в Афганистане и военных конфликтов в зарубежных странах </t>
  </si>
  <si>
    <t>Управление градостроительства и архитектуры</t>
  </si>
  <si>
    <t>Облгосадминистрация</t>
  </si>
  <si>
    <t>180109</t>
  </si>
  <si>
    <t>Дополнительная дотация из государственного бюджета бюджету Автономной Республики Крым и областным бюджетам на уменьшение фактических диспропорций между местными бюджетами в связи с неравномерностью сети бюджетных учреждений</t>
  </si>
  <si>
    <t>Дополнительная дотация из государственного бюджета местным бюджетам, которая связана с выполнением годовых расчетных объемов доходов, определенных приложением 5 к Закону Украины «О Государственном бюджете Украины на 2004 год» , и расчетных объемов акцизного сбора в бюджет Автономной Республики Крым</t>
  </si>
  <si>
    <t>Субвенция из государственного бюджета областному бюджету на социально-экономическое развитие</t>
  </si>
  <si>
    <t>250404</t>
  </si>
  <si>
    <t>Подготовка материалов к издательству 10,11,12 томов книги "Памяти Украины"</t>
  </si>
  <si>
    <t>090417</t>
  </si>
  <si>
    <t>Расходы на захоронение участников бонвых действий</t>
  </si>
  <si>
    <t xml:space="preserve">Специализированные поликлиники                   (врачебно-физкультурный диспансер) </t>
  </si>
  <si>
    <t>250325</t>
  </si>
  <si>
    <t>Субвенция из областного бюджета на содержание приюта для несовершеннолетних</t>
  </si>
  <si>
    <t xml:space="preserve">Строительство и приобретение жилья военнослужащим, лицам рядового и руководящего состава криминально-исполнительной системы и органов внутренних дел, а также участникам боевых действий в Афганистане и военных конфликтов в зарубежных странах </t>
  </si>
  <si>
    <t>Доходы областного бюджета на 2005 год</t>
  </si>
  <si>
    <t xml:space="preserve">  Специальный фонд</t>
  </si>
  <si>
    <t>14060900</t>
  </si>
  <si>
    <t>Плата за государственную регистрацию, кроме платы за регистрацию субъектов предпринимательской деятельности</t>
  </si>
  <si>
    <t xml:space="preserve"> Поступления от размещения  в учреждениях банков временно свободных бюджетных  средств </t>
  </si>
  <si>
    <t xml:space="preserve"> Плата за аренду целостных имущественных комплексов и другого государственного имущества </t>
  </si>
  <si>
    <t>24060800</t>
  </si>
  <si>
    <t>Поступления от сбора за проведение гастрольных мероприятий</t>
  </si>
  <si>
    <t>41021000</t>
  </si>
  <si>
    <t>41021200</t>
  </si>
  <si>
    <t>41021300</t>
  </si>
  <si>
    <t>Дополнительная дотация из государственного бюджета местным бюджетам на повышение стипендии учащимся профессионально-технических и студентам высших учебных заведений в соответствии с Указом Президента Украины от 17.02.2004 № 199</t>
  </si>
  <si>
    <t>41030400</t>
  </si>
  <si>
    <t>41030500</t>
  </si>
  <si>
    <t>Субвенция на выполнение собственных полномочий территориальных громад сел, поселков, городов и их объединений</t>
  </si>
  <si>
    <t>41030600</t>
  </si>
  <si>
    <t>41030800</t>
  </si>
  <si>
    <t>41030900</t>
  </si>
  <si>
    <t>41031000</t>
  </si>
  <si>
    <t xml:space="preserve">Субвенция из государственного бюджета областному бюджету Донецкой области на мероприятия, связанные с завершением реконструкции областной травматологической больницы </t>
  </si>
  <si>
    <t>41033900</t>
  </si>
  <si>
    <t>Субвенция из государственного бюджета местным бюджетам на бесплатное обеспечение углем на бытовые нужды лицам, имеющим такое право согласно статье 48 Горного Закона Украины</t>
  </si>
  <si>
    <t>Субвенция из государственного бюджета местным бюджетам на строительство и приобретение жилья для инвалидов-глухих и инвалидов-слепых</t>
  </si>
  <si>
    <t>41034700</t>
  </si>
  <si>
    <t>41034800</t>
  </si>
  <si>
    <t>41035000</t>
  </si>
  <si>
    <t>41032200</t>
  </si>
  <si>
    <t>Субвенция из государственного бюджета местным бюджетам на социально-экономическое развитие соответствующих территорий</t>
  </si>
  <si>
    <t>41035400</t>
  </si>
  <si>
    <t>Субвенция из государственного бюджета местным бюджетам на передачу в коммунальную собственность объектов социальной инфраструктуры</t>
  </si>
  <si>
    <t>Приложение 4</t>
  </si>
  <si>
    <t>Наименование административно-территориальных единиц</t>
  </si>
  <si>
    <t>Бесплатное обеспечение углем на бытовые потребности лицам, имеющим такое право в соответствии со ст. 48 Горного Закона Украины</t>
  </si>
  <si>
    <t>Субвенция областного бюджета на содержание приютов для несовершеннолетних</t>
  </si>
  <si>
    <t>ВСЕГО</t>
  </si>
  <si>
    <t>100000</t>
  </si>
  <si>
    <t>120000</t>
  </si>
  <si>
    <t>Дистанционное образование</t>
  </si>
  <si>
    <t>Одаренные дети</t>
  </si>
  <si>
    <t>Проведение оздоровления и летнего отдыха детей-сирот, детей, лишенных родительской опеки</t>
  </si>
  <si>
    <t>Итого</t>
  </si>
  <si>
    <t>Тепловое хозяйство</t>
  </si>
  <si>
    <t>Жилищное хозяйство</t>
  </si>
  <si>
    <t>Благоустройство</t>
  </si>
  <si>
    <t>Организация централизованного обеспечения коммунальных газет области бумагой</t>
  </si>
  <si>
    <t>ФОНД</t>
  </si>
  <si>
    <t>СПЕЦИАЛЬНЫЙ</t>
  </si>
  <si>
    <t>ОБЩИЙ</t>
  </si>
  <si>
    <t>150000</t>
  </si>
  <si>
    <t>Региональная программа капитального строительства</t>
  </si>
  <si>
    <t>Водоснабжение и водоотведение</t>
  </si>
  <si>
    <t>Социальная защита, профилактика беспризорности и правонарушений среди детей, учащейся и студенчиской молодежи, их социальная реабилитация в обществе</t>
  </si>
  <si>
    <t>Дополнительная дотация из госбюджета на уменьшение фактических диспропорций между местными бюджетами в связи с неравномерностью сети бюджетных учреждений с учётом расходов, которые принимают участие в расчёте межбюджетных трансфертов</t>
  </si>
  <si>
    <t>компенсация за льготный междугородний проезд</t>
  </si>
  <si>
    <t>капитальный ремонт домов (квартир), санаторно-курортное лечение, компенсация расходов на автомобильное топливо, захоронение, сооружение памятников, одноразовая помощь  в случае смерти, компенсация за льготный  междугородний проезд гражданам, которые постр</t>
  </si>
  <si>
    <t>Кировское</t>
  </si>
  <si>
    <t>Расходы на захоронение участников боевых действий</t>
  </si>
  <si>
    <t xml:space="preserve">Управление культуры </t>
  </si>
  <si>
    <t xml:space="preserve">Главное управление капитального строительства </t>
  </si>
  <si>
    <t>Субвенция из государственного бюджета местным бюджетам на строительство и приобретение жилья военнослужащим, лицам рядового и руководящего состава криминально-исполнительной системы и органов внутренних дел, в том числе уволенным в запас или отставку по состоянию здоровья, возраста, выслуги лет и в сявзи с сокращением штатов, которые состоят на квартирном учете по месту жительства, членам семей из числа этих лиц, которые погибли при исполнении служебных обязанностей, а также участникам боевых действий в Афганистане и военных конфликтах в заруб. странах</t>
  </si>
  <si>
    <t xml:space="preserve"> на выплату помощи семьям с детьми, малообеспеченным семьям, инвалидам с детства  и детям-инвалидам</t>
  </si>
  <si>
    <t>Расходы областного бюджета на 2005 год</t>
  </si>
  <si>
    <t xml:space="preserve">              Распределение расходов областного бюджета на 2005 год</t>
  </si>
  <si>
    <t xml:space="preserve">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</si>
  <si>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оплату электроэнергии,</t>
  </si>
  <si>
    <t>природного газа, услуг тепло-, водоснабжения и водоотведения, квартирной платы, вывозу бытового мусора и жидких нечистот</t>
  </si>
  <si>
    <t xml:space="preserve">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t>
  </si>
  <si>
    <t>на приобретение твердого и жидкого печного бытового топлива и сжиженного газа</t>
  </si>
  <si>
    <t>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оплату электроэнергии, природного газа, услуг тепло-, водоснабжения и водоотведения, квартирной платы, вывозу бытового мусора и жидких нечистот</t>
  </si>
  <si>
    <t>Управление жилищно-коммунального хозяйства</t>
  </si>
  <si>
    <t>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приобретение твердого и жидкого печного бытового топлива и сжиженного газа</t>
  </si>
  <si>
    <t>предоставление  льгот ветеранам войны и труда, ветеранам воинской службы, ветеранам органов внутренних дел, ветеранам государственной пожарной охраны,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по услугам связи и прочих, предусмотренных законодательством льгот (кроме льгот на получение лекарств, зубопротезирование, оплату электроэнергии, природного и сжиженного газа, твердого и жидкого печного бытового топлива, услуг тепло-, водоснабжения и водоотведения, квартирной платы, вывозу жидких нечистот) и компенсацию за льготный проезд  отдельных категорий граждан</t>
  </si>
  <si>
    <t xml:space="preserve">Объем средств субвенций, передаваемых областному бюджету  бюджетами городов областного значения и районными бюджетами на выполнение региональных программ и совместных мероприятий </t>
  </si>
  <si>
    <t>Профилактика ВИЧ-инфекции\СПИДа</t>
  </si>
  <si>
    <t>Харцызск</t>
  </si>
  <si>
    <t>Всего по бюджетам городов</t>
  </si>
  <si>
    <t xml:space="preserve">Константиновский </t>
  </si>
  <si>
    <t>Всего по бюджетам</t>
  </si>
  <si>
    <t xml:space="preserve">от </t>
  </si>
  <si>
    <t>Субвенция из государственного бюджета местным бюджетам на выплату помощи семьям с детьми, малообеспеченным семьям, инвалидам с детства  и детства</t>
  </si>
  <si>
    <t>Управление внешних отношений и внешнеэкономической деятельности</t>
  </si>
  <si>
    <t xml:space="preserve">Главное управление сельского хозяйства и продовольствия </t>
  </si>
  <si>
    <t xml:space="preserve">к решению областного совета </t>
  </si>
  <si>
    <t>от</t>
  </si>
  <si>
    <t xml:space="preserve">Субвенция из государственного бюджета местным бюджетам 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</si>
  <si>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 xml:space="preserve">Субвенция из государственного бюджета местным бюджетам yна 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</si>
  <si>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Приложение 5</t>
  </si>
  <si>
    <t xml:space="preserve">Субвенция из областного бюджета бюджетам городов и районов </t>
  </si>
  <si>
    <t>Сумма</t>
  </si>
  <si>
    <t>Направление использования</t>
  </si>
  <si>
    <t>г.Донецк</t>
  </si>
  <si>
    <t>социально-экономическое развитие</t>
  </si>
  <si>
    <t>г.Артемовск</t>
  </si>
  <si>
    <t>г.Димитрово</t>
  </si>
  <si>
    <t>г.Константиновка</t>
  </si>
  <si>
    <t>г.Краматорск</t>
  </si>
  <si>
    <t>г.Красный Лиман</t>
  </si>
  <si>
    <t>г.Славянск</t>
  </si>
  <si>
    <t>Артемовский район</t>
  </si>
  <si>
    <t>Великоновоселковский район</t>
  </si>
  <si>
    <t>Володарский район</t>
  </si>
  <si>
    <t>Марьинский район</t>
  </si>
  <si>
    <t xml:space="preserve">Всего </t>
  </si>
  <si>
    <t>прил2 по КФК</t>
  </si>
  <si>
    <t xml:space="preserve">прил2 </t>
  </si>
  <si>
    <t>Отдел по вопросам туризма и курортов</t>
  </si>
  <si>
    <t>Капитальніе вложения</t>
  </si>
  <si>
    <t>Государственный архив области</t>
  </si>
  <si>
    <t>210000</t>
  </si>
  <si>
    <t>Наименование</t>
  </si>
  <si>
    <t>Специальный фонд</t>
  </si>
  <si>
    <t>приобретение жилья для многодетной семьи Ткаленко А.Н.</t>
  </si>
  <si>
    <t>Димитров</t>
  </si>
  <si>
    <t xml:space="preserve">Амвросиевский </t>
  </si>
  <si>
    <t xml:space="preserve">Артемовский </t>
  </si>
  <si>
    <t xml:space="preserve">Великоновоселковский </t>
  </si>
  <si>
    <t xml:space="preserve">Волновахский </t>
  </si>
  <si>
    <t xml:space="preserve">Володарский </t>
  </si>
  <si>
    <t xml:space="preserve">Добропольский </t>
  </si>
  <si>
    <t xml:space="preserve">Красноармейский </t>
  </si>
  <si>
    <t xml:space="preserve">Марьинский </t>
  </si>
  <si>
    <t xml:space="preserve">Новоазовский </t>
  </si>
  <si>
    <t xml:space="preserve">Александровский </t>
  </si>
  <si>
    <t xml:space="preserve">Першотравневый </t>
  </si>
  <si>
    <t xml:space="preserve">Славянский </t>
  </si>
  <si>
    <t xml:space="preserve">Старобешевский </t>
  </si>
  <si>
    <t xml:space="preserve">Тельмановский </t>
  </si>
  <si>
    <t xml:space="preserve">Шахтерский </t>
  </si>
  <si>
    <t xml:space="preserve">Ясиноватский </t>
  </si>
  <si>
    <t>Всего по бюджетам районов</t>
  </si>
  <si>
    <t>Наименование программ</t>
  </si>
  <si>
    <t>Главный распорядитель</t>
  </si>
  <si>
    <t>КФК расходов</t>
  </si>
  <si>
    <t>Обеспечение слуховыми аппаратами льготной категории граждан</t>
  </si>
  <si>
    <t>Обеспечение медикаментами льготной категории граждан</t>
  </si>
  <si>
    <t>Приложение7</t>
  </si>
  <si>
    <t>№п\п</t>
  </si>
  <si>
    <t>Внутреннее финансирование</t>
  </si>
  <si>
    <t>Финансирование за счет изменения остатков средств местных бюджетов</t>
  </si>
  <si>
    <t>На начало периода</t>
  </si>
  <si>
    <t>Приложение 6</t>
  </si>
  <si>
    <t>дох</t>
  </si>
  <si>
    <t>прил2</t>
  </si>
  <si>
    <t>Финансирование областного бюджета на 2005 год</t>
  </si>
  <si>
    <t>Другие программы социальной защиты несовешеннолетних</t>
  </si>
  <si>
    <t>090802</t>
  </si>
  <si>
    <t>Подготовка материалов к своду "Памятники истории и культуры Донецкой области"</t>
  </si>
  <si>
    <t>180107</t>
  </si>
  <si>
    <t>Финансирование энергосберегающих мероприятий</t>
  </si>
  <si>
    <t>200700</t>
  </si>
  <si>
    <t>Прочие природоохранные мероприятия</t>
  </si>
  <si>
    <t>Реализация государственных программ и обласных мероприятий</t>
  </si>
  <si>
    <t>О70601</t>
  </si>
  <si>
    <t>Главное управление промышленности, транспорта и связи</t>
  </si>
  <si>
    <t>Субвенция из государственного бюджета местным бюджетам на предоставление  льгот ветеранам войны и труда, ветеранам воинской службы, ветеранам органов внутренних дел, ветеранам государственной пожарной охраны,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по услугам связи и прочих, предусмотренных законодательством льгот (кроме льгот на получение лекарств, зубопротезирование, оплату электроэнергии, природного и сжиженного газа, твердого и жидкого печного бытового топлива, услуг тепло-, водоснабжения и водоотведения, квартирной платы, вывозу жидких нечистот) и компенсацию за льготный проезд  отдельных категорий граждан</t>
  </si>
  <si>
    <t xml:space="preserve">Субвенция из государственного бюджета местным бюджетам на 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</si>
  <si>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Распределение между бюджетами городов областного значения и районов области объёмов межбюджетных трансфертов из государственного бюджета, предусмотренных приложением № 7 проекта Закона Украины "О Государственном бюджете Украины на 2005 год", принятым Верховной Радой Украины в целом 23.12.2004</t>
  </si>
  <si>
    <t>Приложение 2</t>
  </si>
  <si>
    <t>к решению областного совета</t>
  </si>
  <si>
    <t>по функциональной структуре</t>
  </si>
  <si>
    <t>КФКР</t>
  </si>
  <si>
    <t>Расходы бюджета по функциональной структуре</t>
  </si>
  <si>
    <t xml:space="preserve">                Расходы общего фонда</t>
  </si>
  <si>
    <t>Расходы специального фонда</t>
  </si>
  <si>
    <t>ИТОГО</t>
  </si>
  <si>
    <t>Всего</t>
  </si>
  <si>
    <t xml:space="preserve">в том числе </t>
  </si>
  <si>
    <t>в том числе</t>
  </si>
  <si>
    <t>из него региональные программы</t>
  </si>
  <si>
    <t>оплата труда (код 1110)</t>
  </si>
  <si>
    <t>оплата коммунальных услуг и энергонос. (код 1160)</t>
  </si>
  <si>
    <t>другие расходы</t>
  </si>
  <si>
    <t>региональные прог-раммы и централизованные мероприя-тия</t>
  </si>
  <si>
    <t>бюджет развития</t>
  </si>
  <si>
    <t>010000</t>
  </si>
  <si>
    <t>Государственное управление</t>
  </si>
  <si>
    <t>010116</t>
  </si>
  <si>
    <t>Органы местного самоуправления</t>
  </si>
  <si>
    <t>060000</t>
  </si>
  <si>
    <t>Правоохранительная деятельность и обеспечение безопасности государства</t>
  </si>
  <si>
    <t>061007</t>
  </si>
  <si>
    <t>Другие правоохранительные мероприятия и учреждения</t>
  </si>
  <si>
    <t>070000</t>
  </si>
  <si>
    <t>Образование</t>
  </si>
  <si>
    <t>080000</t>
  </si>
  <si>
    <t>Здравоохранение</t>
  </si>
  <si>
    <t>090000</t>
  </si>
  <si>
    <t>Социальная защита и социальное обеспечение</t>
  </si>
  <si>
    <t>090403</t>
  </si>
  <si>
    <t xml:space="preserve">Выплаты компенсаций реабилитированным </t>
  </si>
  <si>
    <t>090412</t>
  </si>
  <si>
    <t>Прочие расходы на социальную защиту населения</t>
  </si>
  <si>
    <t>090413</t>
  </si>
  <si>
    <t>Помощь по уходу за инвалидом I или II группы вследствие психического расстройства</t>
  </si>
  <si>
    <t>091207</t>
  </si>
  <si>
    <t>091209</t>
  </si>
  <si>
    <t>Финансовая поддержка общественных организаций инвалидов и ветеранов</t>
  </si>
  <si>
    <t>091212</t>
  </si>
  <si>
    <t>090700</t>
  </si>
  <si>
    <t>Приюты для несовершеннолетних</t>
  </si>
  <si>
    <t>Жилищно-коммунальное хозяйство</t>
  </si>
  <si>
    <t>Кинематография</t>
  </si>
  <si>
    <t>Средства массовой информации</t>
  </si>
  <si>
    <t>Периодические издания (газеты и журналы)</t>
  </si>
  <si>
    <t>Книгоиздательство</t>
  </si>
  <si>
    <t>Физкультура и спорт</t>
  </si>
  <si>
    <t>Строительство</t>
  </si>
  <si>
    <t>Капитальные вложения</t>
  </si>
  <si>
    <t>Транспорт, дорожное хозяйство, связь, телекоммуникации и информатика</t>
  </si>
  <si>
    <t xml:space="preserve">Расходы на проведение работ, связанных со строительством, реконструкцией, ремонтом и  содержанием автомобильных дорог </t>
  </si>
  <si>
    <t>Программа стабилизации и социально-экономического развития территорий</t>
  </si>
  <si>
    <t>Поддержка малого и среднего предпринимательства</t>
  </si>
  <si>
    <t>Обслуживание долга</t>
  </si>
  <si>
    <t>Целевые фонды</t>
  </si>
  <si>
    <t>Охрана и рациональное использование природных ресурсов</t>
  </si>
  <si>
    <t xml:space="preserve"> Расходы, не отнесенные к основным  группам</t>
  </si>
  <si>
    <t>Резервный фонд</t>
  </si>
  <si>
    <t>Проведение выборов депутатов местных советов</t>
  </si>
  <si>
    <t xml:space="preserve">Прочие расходы  </t>
  </si>
  <si>
    <t>И Т О Г О   Р А С Х О Д О В:</t>
  </si>
  <si>
    <t>Средства, передаваемые из общего фонда бюджета в бюджет развития (специального фонда)</t>
  </si>
  <si>
    <t>В С Е Г О   Р А С Х О Д О В:</t>
  </si>
  <si>
    <t>__________________________</t>
  </si>
  <si>
    <t xml:space="preserve"> </t>
  </si>
  <si>
    <t>Приложение 3</t>
  </si>
  <si>
    <t xml:space="preserve">                               по главным распорядителям средств</t>
  </si>
  <si>
    <t xml:space="preserve">  Название главного распорядителя кредитов</t>
  </si>
  <si>
    <t>региональные программы и централизованные мероприятия</t>
  </si>
  <si>
    <t>Донецкий областной совет</t>
  </si>
  <si>
    <t>070602</t>
  </si>
  <si>
    <t>Прочие расходы</t>
  </si>
  <si>
    <t>250203</t>
  </si>
  <si>
    <t>Главное управление образования и науки</t>
  </si>
  <si>
    <t>Детско-юношеская спортивная школа главного  управления образования и науки</t>
  </si>
  <si>
    <t xml:space="preserve">Управление здравоохранения </t>
  </si>
  <si>
    <t>Библиотеки</t>
  </si>
  <si>
    <t>в т.ч. социальная поддержка учащихся профессионально - технических учебных заведений, студентов высших учебных заведений всех уровней аккредитации из числа детей-сирот и детей, лишённых родительской опеки</t>
  </si>
  <si>
    <t>Помощь по уходу за инвалидами I или II группы вследствие психического расстройства</t>
  </si>
  <si>
    <t xml:space="preserve">Служба по делам несовершеннолетних </t>
  </si>
  <si>
    <t xml:space="preserve">Управление жилищно-коммунального хозяйства </t>
  </si>
  <si>
    <t>110200  110500</t>
  </si>
  <si>
    <t>Донецкое областное производственное объединение "Киновидеопрокат"</t>
  </si>
  <si>
    <t xml:space="preserve">Управление по делам прессы и информации </t>
  </si>
  <si>
    <t xml:space="preserve">Редакционная группа "Реабилитированные историей" </t>
  </si>
  <si>
    <t xml:space="preserve">Управление по вопросам физической культуры и спорта </t>
  </si>
  <si>
    <t xml:space="preserve">Главное управление экономики </t>
  </si>
  <si>
    <t>Главное финансовое управление</t>
  </si>
  <si>
    <t>200200</t>
  </si>
  <si>
    <t>Охрана и рациональное использование земель</t>
  </si>
  <si>
    <t>090411</t>
  </si>
  <si>
    <t>Субвенции общего фонда:</t>
  </si>
  <si>
    <t>в т.ч.</t>
  </si>
  <si>
    <t>компенсация за льготный проезд в городском и пригородном электро- и автотранспорте отдельных категорий граждан</t>
  </si>
  <si>
    <t>льготы на услуги связи</t>
  </si>
  <si>
    <t>воздуш-ным транс-портом</t>
  </si>
  <si>
    <t>железно-дорожным транспор-том</t>
  </si>
  <si>
    <t>Авдеевка</t>
  </si>
  <si>
    <t>Артемовск</t>
  </si>
  <si>
    <t>Горловка</t>
  </si>
  <si>
    <t>Дебальцево</t>
  </si>
  <si>
    <t>Дзержинск</t>
  </si>
  <si>
    <t>Димитрово</t>
  </si>
  <si>
    <t>Доброполье</t>
  </si>
  <si>
    <t>Докучаевск</t>
  </si>
  <si>
    <t>Донецк</t>
  </si>
  <si>
    <t>Дружковка</t>
  </si>
  <si>
    <t>Енакиево</t>
  </si>
  <si>
    <t>Ждановка</t>
  </si>
  <si>
    <t>Константиновка</t>
  </si>
  <si>
    <t>Краматорск</t>
  </si>
  <si>
    <t>Красноармейск</t>
  </si>
  <si>
    <t>Красный Лиман</t>
  </si>
  <si>
    <t>Макеевка</t>
  </si>
  <si>
    <t>Мариуполь</t>
  </si>
  <si>
    <t>Новогродовка</t>
  </si>
  <si>
    <t>Селидово</t>
  </si>
  <si>
    <t>Славянск</t>
  </si>
  <si>
    <t>Снежное</t>
  </si>
  <si>
    <t>Торез</t>
  </si>
  <si>
    <t>Угледар</t>
  </si>
  <si>
    <t>Харцизск</t>
  </si>
  <si>
    <t>Шахтерск</t>
  </si>
  <si>
    <t>Ясиноватая</t>
  </si>
  <si>
    <t>Александровский</t>
  </si>
  <si>
    <t>Амвросиевский</t>
  </si>
  <si>
    <t>Артемовский</t>
  </si>
  <si>
    <t>В-Новоселковский</t>
  </si>
  <si>
    <t>Волновахский</t>
  </si>
  <si>
    <t>Володарский</t>
  </si>
  <si>
    <t>Добропольский</t>
  </si>
  <si>
    <t>Константиновский</t>
  </si>
  <si>
    <t>Красноармейский</t>
  </si>
  <si>
    <t>Марьинский</t>
  </si>
  <si>
    <t>Новоазовский</t>
  </si>
  <si>
    <t>Першотравневый</t>
  </si>
  <si>
    <t>Славянский</t>
  </si>
  <si>
    <t>Старобешевский</t>
  </si>
  <si>
    <t>Тельмановский</t>
  </si>
  <si>
    <t>Шахтерский</t>
  </si>
  <si>
    <t>Ясиноватский</t>
  </si>
  <si>
    <t>Облбюджет</t>
  </si>
  <si>
    <t>Всего по области</t>
  </si>
  <si>
    <t>240601  240602  240603  240604  240605</t>
  </si>
  <si>
    <t>Приложение 1</t>
  </si>
  <si>
    <t>Код</t>
  </si>
  <si>
    <t>Наименование доходов в соответствии с  бюджетной классификацией</t>
  </si>
  <si>
    <t>Общий фонд</t>
  </si>
  <si>
    <t>в т.ч. бюджет развития</t>
  </si>
  <si>
    <t>6=(гр.3+гр.4)</t>
  </si>
  <si>
    <t>Налоговые поступления</t>
  </si>
  <si>
    <t>Х</t>
  </si>
  <si>
    <t>Налоги на доходы, налоги на прибыль, налоги на увеличение рыночной стоимости</t>
  </si>
  <si>
    <t>Налог с доходов физических лиц</t>
  </si>
  <si>
    <t>Налог на прибыль предприятий</t>
  </si>
  <si>
    <t xml:space="preserve"> Налог на прибыль предприятий и организаций, которые относятся к коммунальной собственности</t>
  </si>
  <si>
    <t>Налоги на собственность</t>
  </si>
  <si>
    <t>Налог с владельцев транспортных средств и других самоходных машин и механизмов</t>
  </si>
  <si>
    <t xml:space="preserve">Сборы за специальное использование природных ресурсов </t>
  </si>
  <si>
    <t>Плата за землю</t>
  </si>
  <si>
    <t>Внутренние налоги на товары и услуги</t>
  </si>
  <si>
    <t xml:space="preserve">Плата за выдачу лицензий и сертификатов </t>
  </si>
  <si>
    <t>Плата за государственную регистрацию субъектов предпринимательской деятельности</t>
  </si>
  <si>
    <t>Плата за лицензии на право розничной торговли алкогольными напитками и табачными изделиями</t>
  </si>
  <si>
    <t xml:space="preserve">Плата за торговый патент на некоторые виды                                                                                                                             предпринимательской деятельности </t>
  </si>
  <si>
    <t>Плата за приобретение торговых патентов пунктами продажи нефтепродуктов (автозаправочными станциями, заправочными пунктами)</t>
  </si>
  <si>
    <t>Неналоговые поступления</t>
  </si>
  <si>
    <t>Доходы от собственности и предпринимательской деятельности</t>
  </si>
  <si>
    <t>Поступление средств от возмещения потерь сельскохозяйственного и лесохозяйственного производства</t>
  </si>
  <si>
    <t>Административные сборы и платежи, доходы от некоммерческой  и побочной продажи</t>
  </si>
  <si>
    <t>Поступления от штрафов и финансовых санкций</t>
  </si>
  <si>
    <t>Административные штрафы и другие санкции</t>
  </si>
  <si>
    <t>Другие неналоговые поступления</t>
  </si>
  <si>
    <t>Другие поступления</t>
  </si>
  <si>
    <t>Собственные поступления бюджетных учреждений</t>
  </si>
  <si>
    <t xml:space="preserve">Поступления от приватизации имущества, которое принадлежит  Автономной Республике Крым и имущества, которое находится в коммунальной собственности </t>
  </si>
  <si>
    <t>Сбор за загрязнение окружающей природной среды</t>
  </si>
  <si>
    <t>Итого доходов</t>
  </si>
  <si>
    <t>Официальные трансферты</t>
  </si>
  <si>
    <t>Субвенции</t>
  </si>
  <si>
    <t>Средства, полученные из общего  фонда бюджета   в бюджет развития (специального фонда)</t>
  </si>
  <si>
    <t>Всего доходов</t>
  </si>
  <si>
    <t>Перечисление предпринимателями части стоимости нестандартной продукции, изготовленной по разрешению на временное отклонение от требований соответствующих стандартов качества продукции, выданного Государственным комитетом Украины по стандартизации, метроло</t>
  </si>
  <si>
    <t>Поступления сумм кредиторской и депонентской задолженности  предприятий, организаций и учреждений, по которым истек срок исковой давности</t>
  </si>
  <si>
    <t>Прочие субвенции</t>
  </si>
  <si>
    <t>тыс.грн.</t>
  </si>
  <si>
    <t>Управление по вопросам чрезвычайных ситуаций и по делам защиты населения от последствий Чернобыльской катастрофы</t>
  </si>
  <si>
    <t>Средства на обеспечение бытовым углем отдельных категорий населения</t>
  </si>
  <si>
    <t>090416</t>
  </si>
  <si>
    <t>Прочие расходы на социальную защиту ветеранов войны и труда</t>
  </si>
  <si>
    <t>090601</t>
  </si>
  <si>
    <t>Дома-интернаты для малолетних инвалидов</t>
  </si>
  <si>
    <t>090901</t>
  </si>
  <si>
    <t>Дома-интернаты (пансионаты) для престарелых и инвалидов системы социальной защиты</t>
  </si>
  <si>
    <t>091101</t>
  </si>
  <si>
    <t>Содержание центров социальных служб для молодежи</t>
  </si>
  <si>
    <t>091102</t>
  </si>
  <si>
    <t>Программы и мероприятия центров социальных служб для молодежи</t>
  </si>
  <si>
    <t>091103</t>
  </si>
  <si>
    <t xml:space="preserve"> Социальные программы и мероприятия государственных органов по делам молодежи</t>
  </si>
  <si>
    <t>091104</t>
  </si>
  <si>
    <t>Социальные программы и мероприятия государственных органов по делам женщин</t>
  </si>
  <si>
    <t>091105</t>
  </si>
  <si>
    <t>Содержание подростковых клубов по месту проживания</t>
  </si>
  <si>
    <t>091106</t>
  </si>
  <si>
    <t xml:space="preserve">Прочие расходы </t>
  </si>
  <si>
    <t>091107</t>
  </si>
  <si>
    <t>Социальные программы и мероприятия государственных органов по делам семьи</t>
  </si>
  <si>
    <t>Льготы, предоставляемые населению (кроме ветеранов войны и труда, воинской службы, органов внутренних дел и граждан, пострадавших вследствие Чернобыльской катастрофы) на оплату жилищно-коммунальных услуг и природного газа</t>
  </si>
  <si>
    <t>091210</t>
  </si>
  <si>
    <t>Службы технического надзора за строительством и капитальным ремонтом</t>
  </si>
  <si>
    <t>091211</t>
  </si>
  <si>
    <t>Централизованные бухгалтерии</t>
  </si>
  <si>
    <t>Обработка информации по начислению и выплате пособий и компенсаций</t>
  </si>
  <si>
    <t>100105</t>
  </si>
  <si>
    <t>в т.ч. расходы на содержание объектов социальной сферы предприятий, которые передаются в коммунальную собственность</t>
  </si>
  <si>
    <t>Культура и искусство, в том числе</t>
  </si>
  <si>
    <t>110102</t>
  </si>
  <si>
    <t>Театры</t>
  </si>
  <si>
    <t>110103</t>
  </si>
  <si>
    <t>Филармонии, музыкальные коллективы и ансамбли  и прочие мероприятия и учреждения по искусству</t>
  </si>
  <si>
    <t>150107</t>
  </si>
  <si>
    <t>Строительство и приобретение жилья военнослужащим, лицам рядового и руководящего состава криминально-исполнительной системы и органов внутренних дел, в том числе уволенным в запас или отставку по состоянию здоровья, возрасту,выслугой лет и в связи с сокра</t>
  </si>
  <si>
    <t>150118</t>
  </si>
  <si>
    <t xml:space="preserve">Жилищное строительство и приобретение жилья для отдельных категорий населения  </t>
  </si>
  <si>
    <t>150119</t>
  </si>
  <si>
    <t>Проведение неотложных восстановительных работ, строительство и реконструкция в медицинских учреждениях</t>
  </si>
  <si>
    <t>150120</t>
  </si>
  <si>
    <t>Строительство метрополитена</t>
  </si>
  <si>
    <t>150122</t>
  </si>
  <si>
    <t>Инвестиционные проекты</t>
  </si>
  <si>
    <t>170603</t>
  </si>
  <si>
    <t>Прочие мероприятия в сфере электротранспорта</t>
  </si>
  <si>
    <t>Расходы на проведение работ, связанных со строительством, реконструкцией, ремонтом и  содержанием автомобильных дорог</t>
  </si>
  <si>
    <t>180409</t>
  </si>
  <si>
    <t>Взносы органов власти Автономной Республики Крым и органов местного самоуправления в уставные фонды субъектов предпринимательской деятельности</t>
  </si>
  <si>
    <t>Предупреждение и ликвидация чрезвычайных ситуаций и последствий стихийного бедствия</t>
  </si>
  <si>
    <t>Проведение выборов  депутатов местных советов</t>
  </si>
  <si>
    <t>250205</t>
  </si>
  <si>
    <t>Проведение референдумов</t>
  </si>
  <si>
    <t>250309</t>
  </si>
  <si>
    <t>Средства, передаваемые по взаимным расчетам между местными бюджетами</t>
  </si>
  <si>
    <t>250403</t>
  </si>
  <si>
    <t>Расходы на покрытие прочих задолженостей возникших в предыдущие годы</t>
  </si>
  <si>
    <t>250313</t>
  </si>
  <si>
    <t>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t>
  </si>
  <si>
    <t>250316</t>
  </si>
  <si>
    <t>Дополнительная дотация из государственного бюджета местным бюджетам, которая связана с выполнением годовых расчетных объемов доходов, определенных приложением 5 к Закону Украины «О Государственном бюджете Украины на 2004 год» , и расчетных объемов акцизно</t>
  </si>
  <si>
    <t>250318</t>
  </si>
  <si>
    <t>Дополнительная дотация из государственного бюджета местным бюджетам на введение с 1 сентября 2004 года минимальной заработной платы в размере 237 грн. на месяц с сохранением действующих соотношений в оплате труда работникам бюджетной сферы</t>
  </si>
  <si>
    <t>Средства, передаваемые в Государственный бюджет из бюджета Автономной Республики Крым, областных и районных бюджетов, городских бюджетов</t>
  </si>
  <si>
    <t>Субвенция из государственного бюджета местным бюджетам на выполнение инвестиционных проектов</t>
  </si>
  <si>
    <t>250326</t>
  </si>
  <si>
    <t>Субвенция из государственного бюджета местным бюджетам на выплату помощи семьям с детьми, малообеспеченным семьям, инвалидам с детства  и детям-инвалидам</t>
  </si>
  <si>
    <t>250328</t>
  </si>
  <si>
    <t>250329</t>
  </si>
  <si>
    <t>250330</t>
  </si>
  <si>
    <t>250359</t>
  </si>
  <si>
    <t>Субвенция из государственного бюджета местным бюджетам  на бесплатное обеспечение углем на бытовые потребности лицам, которые имеют такое право согласно ст.48 Горного закона Украины</t>
  </si>
  <si>
    <t>250367</t>
  </si>
  <si>
    <t>Субвенция из государственного бюджета местным бюджетам на погашение задолженности по льготам населению за предоставленные услуги связи</t>
  </si>
  <si>
    <t>250368</t>
  </si>
  <si>
    <t>Субвенция из государственного бюджета местным бюджетам на выполнение мероприятий по предупреждению аварий и предотвращению техногенных катастроф в жилищно-коммунальном хозяйстве и на прочих аварийных объектах коммунальной собственности</t>
  </si>
  <si>
    <t>250380</t>
  </si>
  <si>
    <t>250342</t>
  </si>
  <si>
    <t>Субвенция из государственного бюджета  местным бюджетам на социально-экономическое развитие соответствующих территорий</t>
  </si>
  <si>
    <t>250372</t>
  </si>
  <si>
    <t>Субвенция из государственного бюджета областному бюджету на передачу в коммунальную собственность объектов социальной инфраструктуры</t>
  </si>
  <si>
    <t>Высшие учреждения образования III и IV уровней аккредитации</t>
  </si>
  <si>
    <t>100206</t>
  </si>
  <si>
    <t>Гостиничное хозяйство</t>
  </si>
  <si>
    <t>130112</t>
  </si>
  <si>
    <t>210105</t>
  </si>
  <si>
    <t>Расходы на предупреждение и ликвидацию чрезвычайных ситуаций и последствий стихийного бедствия</t>
  </si>
  <si>
    <t>Образование (учреждения образования, программы и мероприятия в сфере образования), в том числе:</t>
  </si>
  <si>
    <t>стипендии одаренным учащимся, студентам и аспирантам</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</si>
</sst>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_ ;[Red]\-#,##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0"/>
    <numFmt numFmtId="180" formatCode="#,##0.000"/>
    <numFmt numFmtId="181" formatCode="#,##0.0000"/>
    <numFmt numFmtId="182" formatCode="#,##0.000000"/>
    <numFmt numFmtId="183" formatCode="0.0%"/>
    <numFmt numFmtId="184" formatCode="0.0000"/>
    <numFmt numFmtId="185" formatCode="0.00000"/>
    <numFmt numFmtId="186" formatCode="0.000"/>
    <numFmt numFmtId="187" formatCode="#,##0.000_ ;[Red]\-#,##0.000\ "/>
  </numFmts>
  <fonts count="25">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b/>
      <sz val="11"/>
      <name val="Times New Roman"/>
      <family val="1"/>
    </font>
    <font>
      <sz val="10"/>
      <color indexed="8"/>
      <name val="Times New Roman"/>
      <family val="1"/>
    </font>
    <font>
      <b/>
      <sz val="10"/>
      <color indexed="8"/>
      <name val="Times New Roman"/>
      <family val="1"/>
    </font>
    <font>
      <u val="single"/>
      <sz val="7.5"/>
      <color indexed="12"/>
      <name val="Arial Cyr"/>
      <family val="0"/>
    </font>
    <font>
      <u val="single"/>
      <sz val="7.5"/>
      <color indexed="36"/>
      <name val="Arial Cyr"/>
      <family val="0"/>
    </font>
    <font>
      <b/>
      <sz val="14"/>
      <name val="Times New Roman"/>
      <family val="1"/>
    </font>
    <font>
      <sz val="12"/>
      <name val="Times New Roman"/>
      <family val="1"/>
    </font>
    <font>
      <b/>
      <sz val="13"/>
      <name val="Times New Roman"/>
      <family val="1"/>
    </font>
    <font>
      <b/>
      <i/>
      <sz val="10"/>
      <name val="Times New Roman"/>
      <family val="1"/>
    </font>
    <font>
      <b/>
      <i/>
      <sz val="11"/>
      <name val="Times New Roman"/>
      <family val="1"/>
    </font>
    <font>
      <i/>
      <sz val="10"/>
      <name val="Times New Roman"/>
      <family val="1"/>
    </font>
    <font>
      <i/>
      <sz val="10"/>
      <name val="Arial Cyr"/>
      <family val="0"/>
    </font>
    <font>
      <i/>
      <sz val="12"/>
      <name val="Times New Roman"/>
      <family val="1"/>
    </font>
    <font>
      <b/>
      <i/>
      <sz val="12"/>
      <name val="Times New Roman"/>
      <family val="1"/>
    </font>
    <font>
      <b/>
      <sz val="10"/>
      <color indexed="9"/>
      <name val="Times New Roman"/>
      <family val="1"/>
    </font>
    <font>
      <sz val="10"/>
      <color indexed="9"/>
      <name val="Times New Roman"/>
      <family val="1"/>
    </font>
  </fonts>
  <fills count="3">
    <fill>
      <patternFill/>
    </fill>
    <fill>
      <patternFill patternType="gray125"/>
    </fill>
    <fill>
      <patternFill patternType="solid">
        <fgColor indexed="9"/>
        <bgColor indexed="64"/>
      </patternFill>
    </fill>
  </fills>
  <borders count="48">
    <border>
      <left/>
      <right/>
      <top/>
      <bottom/>
      <diagonal/>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thin"/>
      <bottom>
        <color indexed="63"/>
      </bottom>
    </border>
    <border>
      <left style="thin"/>
      <right style="thin"/>
      <top style="thin"/>
      <bottom>
        <color indexed="63"/>
      </bottom>
    </border>
    <border>
      <left style="thin"/>
      <right style="medium"/>
      <top>
        <color indexed="63"/>
      </top>
      <bottom style="thin"/>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thin"/>
      <right style="thin"/>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style="medium"/>
      <top>
        <color indexed="63"/>
      </top>
      <bottom>
        <color indexed="63"/>
      </bottom>
    </border>
    <border>
      <left style="medium"/>
      <right style="medium"/>
      <top style="thin"/>
      <bottom style="thin"/>
    </border>
    <border>
      <left style="medium"/>
      <right style="medium"/>
      <top style="thin"/>
      <bottom>
        <color indexed="63"/>
      </botto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24">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top"/>
    </xf>
    <xf numFmtId="0" fontId="3" fillId="0" borderId="4"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5" xfId="0" applyFont="1" applyFill="1" applyBorder="1" applyAlignment="1">
      <alignment horizontal="left" wrapText="1"/>
    </xf>
    <xf numFmtId="0" fontId="3" fillId="0" borderId="0" xfId="0" applyFont="1" applyFill="1" applyAlignment="1">
      <alignment/>
    </xf>
    <xf numFmtId="49" fontId="1" fillId="0" borderId="5" xfId="0" applyNumberFormat="1" applyFont="1" applyFill="1" applyBorder="1" applyAlignment="1">
      <alignment horizontal="left" vertical="center" wrapText="1"/>
    </xf>
    <xf numFmtId="0" fontId="3" fillId="0" borderId="0" xfId="0" applyFont="1" applyFill="1" applyBorder="1" applyAlignment="1">
      <alignment/>
    </xf>
    <xf numFmtId="0" fontId="1" fillId="0" borderId="5" xfId="0" applyFont="1" applyFill="1" applyBorder="1" applyAlignment="1">
      <alignment horizontal="left" vertical="center" wrapText="1"/>
    </xf>
    <xf numFmtId="172" fontId="1" fillId="0" borderId="5" xfId="0" applyNumberFormat="1" applyFont="1" applyFill="1" applyBorder="1" applyAlignment="1">
      <alignment/>
    </xf>
    <xf numFmtId="0" fontId="3" fillId="0" borderId="5" xfId="0" applyFont="1" applyFill="1" applyBorder="1" applyAlignment="1">
      <alignment horizontal="left" wrapText="1"/>
    </xf>
    <xf numFmtId="172" fontId="3" fillId="0" borderId="5" xfId="0" applyNumberFormat="1" applyFont="1" applyFill="1" applyBorder="1" applyAlignment="1">
      <alignment/>
    </xf>
    <xf numFmtId="172" fontId="3" fillId="0" borderId="0" xfId="0" applyNumberFormat="1" applyFont="1" applyFill="1" applyBorder="1" applyAlignment="1">
      <alignment/>
    </xf>
    <xf numFmtId="173" fontId="3" fillId="0" borderId="0" xfId="0" applyNumberFormat="1" applyFont="1" applyFill="1" applyAlignment="1">
      <alignment/>
    </xf>
    <xf numFmtId="172" fontId="1" fillId="0" borderId="5" xfId="0" applyNumberFormat="1" applyFont="1" applyFill="1" applyBorder="1" applyAlignment="1">
      <alignment horizontal="right"/>
    </xf>
    <xf numFmtId="0" fontId="0" fillId="0" borderId="0" xfId="0" applyFont="1" applyFill="1" applyAlignment="1">
      <alignment/>
    </xf>
    <xf numFmtId="172" fontId="1" fillId="0" borderId="0" xfId="0" applyNumberFormat="1" applyFont="1" applyFill="1" applyAlignment="1">
      <alignment/>
    </xf>
    <xf numFmtId="173" fontId="1" fillId="0" borderId="0" xfId="0" applyNumberFormat="1" applyFont="1" applyFill="1" applyAlignment="1">
      <alignment/>
    </xf>
    <xf numFmtId="0" fontId="1" fillId="0" borderId="0" xfId="0" applyFont="1" applyFill="1" applyAlignment="1">
      <alignment vertical="center"/>
    </xf>
    <xf numFmtId="0" fontId="0" fillId="0" borderId="0" xfId="0" applyFill="1" applyAlignment="1">
      <alignment/>
    </xf>
    <xf numFmtId="0" fontId="1" fillId="0" borderId="0" xfId="0" applyFont="1" applyFill="1" applyBorder="1" applyAlignment="1">
      <alignment horizontal="center"/>
    </xf>
    <xf numFmtId="0" fontId="6" fillId="0" borderId="0" xfId="0" applyFont="1" applyFill="1" applyAlignment="1">
      <alignment horizontal="right"/>
    </xf>
    <xf numFmtId="0" fontId="3" fillId="0" borderId="0" xfId="0" applyFont="1" applyFill="1" applyAlignment="1">
      <alignment horizontal="right"/>
    </xf>
    <xf numFmtId="0" fontId="6" fillId="0" borderId="0" xfId="0" applyFont="1" applyFill="1" applyAlignment="1">
      <alignment/>
    </xf>
    <xf numFmtId="0" fontId="1" fillId="0" borderId="5" xfId="0" applyNumberFormat="1" applyFont="1" applyFill="1" applyBorder="1" applyAlignment="1">
      <alignment horizontal="left" vertical="center" wrapText="1"/>
    </xf>
    <xf numFmtId="172" fontId="0" fillId="0" borderId="0" xfId="0" applyNumberFormat="1" applyFill="1" applyAlignment="1">
      <alignment/>
    </xf>
    <xf numFmtId="0" fontId="0" fillId="0" borderId="0" xfId="0" applyFill="1" applyBorder="1" applyAlignment="1">
      <alignment/>
    </xf>
    <xf numFmtId="173" fontId="0" fillId="0" borderId="0" xfId="0" applyNumberFormat="1" applyFill="1" applyAlignment="1">
      <alignment/>
    </xf>
    <xf numFmtId="172" fontId="5" fillId="0" borderId="5" xfId="0" applyNumberFormat="1" applyFont="1" applyFill="1" applyBorder="1" applyAlignment="1">
      <alignment horizontal="center"/>
    </xf>
    <xf numFmtId="172" fontId="3" fillId="0" borderId="5" xfId="0" applyNumberFormat="1" applyFont="1" applyFill="1" applyBorder="1" applyAlignment="1">
      <alignment horizontal="right"/>
    </xf>
    <xf numFmtId="0" fontId="1" fillId="0" borderId="5" xfId="0" applyFont="1" applyFill="1" applyBorder="1" applyAlignment="1">
      <alignment horizontal="left" wrapText="1" shrinkToFit="1"/>
    </xf>
    <xf numFmtId="172" fontId="1" fillId="0" borderId="5" xfId="0" applyNumberFormat="1" applyFont="1" applyFill="1" applyBorder="1" applyAlignment="1">
      <alignment horizontal="center"/>
    </xf>
    <xf numFmtId="0" fontId="4" fillId="0" borderId="0" xfId="0" applyFont="1" applyFill="1" applyAlignment="1">
      <alignment horizontal="center"/>
    </xf>
    <xf numFmtId="0" fontId="1" fillId="0" borderId="5" xfId="0" applyFont="1" applyFill="1" applyBorder="1" applyAlignment="1">
      <alignment horizontal="left" vertical="center" wrapText="1" shrinkToFit="1"/>
    </xf>
    <xf numFmtId="172" fontId="4" fillId="0" borderId="0" xfId="0" applyNumberFormat="1" applyFont="1" applyFill="1" applyAlignment="1">
      <alignment horizontal="center"/>
    </xf>
    <xf numFmtId="49" fontId="1" fillId="0" borderId="5" xfId="0" applyNumberFormat="1" applyFont="1" applyFill="1" applyBorder="1" applyAlignment="1">
      <alignment horizontal="left" wrapText="1"/>
    </xf>
    <xf numFmtId="0" fontId="1" fillId="0" borderId="5" xfId="0" applyNumberFormat="1" applyFont="1" applyFill="1" applyBorder="1" applyAlignment="1">
      <alignment horizontal="left" wrapText="1"/>
    </xf>
    <xf numFmtId="0" fontId="1" fillId="0" borderId="0" xfId="0" applyFont="1" applyFill="1" applyAlignment="1">
      <alignment horizontal="left" vertical="top"/>
    </xf>
    <xf numFmtId="0" fontId="3" fillId="0" borderId="5" xfId="0" applyFont="1" applyFill="1" applyBorder="1" applyAlignment="1">
      <alignment horizontal="left" vertical="center" wrapText="1"/>
    </xf>
    <xf numFmtId="49" fontId="3" fillId="0" borderId="5" xfId="0" applyNumberFormat="1" applyFont="1" applyFill="1" applyBorder="1" applyAlignment="1">
      <alignment vertical="center" wrapText="1"/>
    </xf>
    <xf numFmtId="0" fontId="3" fillId="0" borderId="5"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0" fontId="3" fillId="0" borderId="5" xfId="0" applyFont="1" applyFill="1" applyBorder="1" applyAlignment="1">
      <alignment horizontal="left"/>
    </xf>
    <xf numFmtId="173" fontId="4" fillId="0" borderId="0" xfId="0" applyNumberFormat="1" applyFont="1" applyAlignment="1">
      <alignment horizontal="center"/>
    </xf>
    <xf numFmtId="49" fontId="1" fillId="0" borderId="0" xfId="0" applyNumberFormat="1" applyFont="1" applyFill="1" applyAlignment="1">
      <alignment horizontal="center" vertical="top"/>
    </xf>
    <xf numFmtId="49" fontId="3" fillId="0" borderId="4" xfId="0" applyNumberFormat="1" applyFont="1" applyFill="1" applyBorder="1" applyAlignment="1">
      <alignment horizontal="center" vertical="top"/>
    </xf>
    <xf numFmtId="49" fontId="3" fillId="0" borderId="6" xfId="0" applyNumberFormat="1" applyFont="1" applyFill="1" applyBorder="1" applyAlignment="1">
      <alignment horizontal="center" vertical="top" wrapText="1"/>
    </xf>
    <xf numFmtId="172" fontId="3" fillId="0" borderId="7" xfId="0" applyNumberFormat="1" applyFont="1" applyFill="1" applyBorder="1" applyAlignment="1">
      <alignment horizontal="right"/>
    </xf>
    <xf numFmtId="49" fontId="1" fillId="0" borderId="6" xfId="0" applyNumberFormat="1" applyFont="1" applyFill="1" applyBorder="1" applyAlignment="1">
      <alignment horizontal="center" vertical="top" wrapText="1"/>
    </xf>
    <xf numFmtId="172" fontId="1" fillId="0" borderId="7" xfId="0" applyNumberFormat="1" applyFont="1" applyFill="1" applyBorder="1" applyAlignment="1">
      <alignment horizontal="right"/>
    </xf>
    <xf numFmtId="49" fontId="3" fillId="0" borderId="5" xfId="0" applyNumberFormat="1" applyFont="1" applyFill="1" applyBorder="1" applyAlignment="1">
      <alignment horizontal="left" vertical="top" wrapText="1"/>
    </xf>
    <xf numFmtId="172" fontId="3" fillId="0" borderId="5" xfId="0" applyNumberFormat="1" applyFont="1" applyFill="1" applyBorder="1" applyAlignment="1">
      <alignment horizontal="right" vertical="top"/>
    </xf>
    <xf numFmtId="172" fontId="3" fillId="0" borderId="7" xfId="0" applyNumberFormat="1" applyFont="1" applyFill="1" applyBorder="1" applyAlignment="1">
      <alignment horizontal="right" vertical="top"/>
    </xf>
    <xf numFmtId="49" fontId="3" fillId="0" borderId="6" xfId="0" applyNumberFormat="1" applyFont="1" applyFill="1" applyBorder="1" applyAlignment="1">
      <alignment horizontal="center" vertical="top"/>
    </xf>
    <xf numFmtId="49" fontId="1" fillId="0" borderId="6" xfId="0" applyNumberFormat="1" applyFont="1" applyFill="1" applyBorder="1" applyAlignment="1">
      <alignment horizontal="center" vertical="top"/>
    </xf>
    <xf numFmtId="0" fontId="1" fillId="0" borderId="5" xfId="0" applyFont="1" applyFill="1" applyBorder="1" applyAlignment="1">
      <alignment vertical="top" wrapText="1"/>
    </xf>
    <xf numFmtId="0" fontId="3" fillId="0" borderId="5" xfId="0" applyFont="1" applyFill="1" applyBorder="1" applyAlignment="1">
      <alignment horizontal="left" vertical="top" wrapText="1"/>
    </xf>
    <xf numFmtId="172" fontId="1" fillId="0" borderId="7" xfId="0" applyNumberFormat="1" applyFont="1" applyFill="1" applyBorder="1" applyAlignment="1">
      <alignment/>
    </xf>
    <xf numFmtId="0" fontId="1" fillId="0" borderId="5" xfId="0" applyFont="1" applyFill="1" applyBorder="1" applyAlignment="1">
      <alignment horizontal="left" vertical="top" wrapText="1" shrinkToFit="1"/>
    </xf>
    <xf numFmtId="0" fontId="1" fillId="0" borderId="6" xfId="0" applyFont="1" applyFill="1" applyBorder="1" applyAlignment="1">
      <alignment/>
    </xf>
    <xf numFmtId="0" fontId="1" fillId="0" borderId="5" xfId="0" applyFont="1" applyFill="1" applyBorder="1" applyAlignment="1">
      <alignment/>
    </xf>
    <xf numFmtId="172" fontId="3" fillId="0" borderId="8" xfId="0" applyNumberFormat="1" applyFont="1" applyFill="1" applyBorder="1" applyAlignment="1">
      <alignment horizontal="right"/>
    </xf>
    <xf numFmtId="172" fontId="3" fillId="0" borderId="9" xfId="0" applyNumberFormat="1" applyFont="1" applyFill="1" applyBorder="1" applyAlignment="1">
      <alignment horizontal="right"/>
    </xf>
    <xf numFmtId="4" fontId="1" fillId="0" borderId="0" xfId="0" applyNumberFormat="1" applyFont="1" applyFill="1" applyAlignment="1">
      <alignment/>
    </xf>
    <xf numFmtId="49" fontId="4" fillId="0" borderId="3" xfId="0" applyNumberFormat="1" applyFont="1" applyFill="1" applyBorder="1" applyAlignment="1">
      <alignment horizontal="center" vertical="top"/>
    </xf>
    <xf numFmtId="0" fontId="4" fillId="0" borderId="3" xfId="0" applyNumberFormat="1" applyFont="1" applyFill="1" applyBorder="1" applyAlignment="1">
      <alignment horizontal="center" vertical="center"/>
    </xf>
    <xf numFmtId="0" fontId="4" fillId="0" borderId="3" xfId="0" applyFont="1" applyFill="1" applyBorder="1" applyAlignment="1">
      <alignment horizontal="center"/>
    </xf>
    <xf numFmtId="49" fontId="3" fillId="0" borderId="10" xfId="0" applyNumberFormat="1" applyFont="1" applyFill="1" applyBorder="1" applyAlignment="1">
      <alignment horizontal="center" vertical="top"/>
    </xf>
    <xf numFmtId="0" fontId="3" fillId="0" borderId="11" xfId="0" applyNumberFormat="1" applyFont="1" applyFill="1" applyBorder="1" applyAlignment="1">
      <alignment horizontal="left" vertical="center" wrapText="1"/>
    </xf>
    <xf numFmtId="172" fontId="3" fillId="0" borderId="11" xfId="0" applyNumberFormat="1" applyFont="1" applyFill="1" applyBorder="1" applyAlignment="1">
      <alignment horizontal="right"/>
    </xf>
    <xf numFmtId="172" fontId="3" fillId="0" borderId="12" xfId="0" applyNumberFormat="1" applyFont="1" applyFill="1" applyBorder="1" applyAlignment="1">
      <alignment horizontal="right"/>
    </xf>
    <xf numFmtId="0" fontId="6" fillId="0" borderId="0" xfId="0" applyFont="1" applyFill="1" applyBorder="1" applyAlignment="1">
      <alignment/>
    </xf>
    <xf numFmtId="172" fontId="0" fillId="0" borderId="0" xfId="0" applyNumberFormat="1" applyFont="1" applyFill="1" applyBorder="1" applyAlignment="1">
      <alignment/>
    </xf>
    <xf numFmtId="0" fontId="0" fillId="0" borderId="0" xfId="0" applyFont="1" applyFill="1" applyBorder="1" applyAlignment="1">
      <alignment/>
    </xf>
    <xf numFmtId="172" fontId="3" fillId="0" borderId="7" xfId="0" applyNumberFormat="1" applyFont="1" applyFill="1" applyBorder="1" applyAlignment="1">
      <alignment/>
    </xf>
    <xf numFmtId="0" fontId="4" fillId="0" borderId="5" xfId="0" applyNumberFormat="1" applyFont="1" applyFill="1" applyBorder="1" applyAlignment="1">
      <alignment horizontal="left" vertical="center" wrapText="1"/>
    </xf>
    <xf numFmtId="0" fontId="1" fillId="0" borderId="5" xfId="0" applyFont="1" applyFill="1" applyBorder="1" applyAlignment="1">
      <alignment vertical="center"/>
    </xf>
    <xf numFmtId="172" fontId="6" fillId="0" borderId="0" xfId="0" applyNumberFormat="1" applyFont="1" applyFill="1" applyAlignment="1">
      <alignment/>
    </xf>
    <xf numFmtId="172" fontId="0" fillId="0" borderId="0" xfId="0" applyNumberFormat="1" applyFont="1" applyFill="1" applyAlignment="1">
      <alignment/>
    </xf>
    <xf numFmtId="0" fontId="1" fillId="0" borderId="5" xfId="0" applyFont="1" applyFill="1" applyBorder="1" applyAlignment="1">
      <alignment vertical="center" wrapText="1"/>
    </xf>
    <xf numFmtId="172" fontId="1" fillId="0" borderId="5" xfId="0" applyNumberFormat="1" applyFont="1" applyFill="1" applyBorder="1" applyAlignment="1">
      <alignment vertical="center"/>
    </xf>
    <xf numFmtId="172" fontId="1" fillId="0" borderId="5" xfId="0" applyNumberFormat="1" applyFont="1" applyFill="1" applyBorder="1" applyAlignment="1">
      <alignment/>
    </xf>
    <xf numFmtId="0" fontId="3" fillId="0" borderId="5" xfId="0" applyFont="1" applyFill="1" applyBorder="1" applyAlignment="1">
      <alignment vertical="top" wrapText="1"/>
    </xf>
    <xf numFmtId="172" fontId="3" fillId="0" borderId="8" xfId="0" applyNumberFormat="1" applyFont="1" applyFill="1" applyBorder="1" applyAlignment="1">
      <alignment/>
    </xf>
    <xf numFmtId="49" fontId="1" fillId="0" borderId="0" xfId="0" applyNumberFormat="1" applyFont="1" applyFill="1" applyBorder="1" applyAlignment="1">
      <alignment horizontal="center" vertical="top" wrapText="1"/>
    </xf>
    <xf numFmtId="0" fontId="1" fillId="0" borderId="0" xfId="0" applyNumberFormat="1" applyFont="1" applyFill="1" applyBorder="1" applyAlignment="1">
      <alignment horizontal="left" vertical="center" wrapText="1"/>
    </xf>
    <xf numFmtId="0" fontId="5" fillId="0" borderId="0" xfId="0" applyFont="1" applyFill="1" applyAlignment="1">
      <alignment/>
    </xf>
    <xf numFmtId="49" fontId="4" fillId="0" borderId="0" xfId="0" applyNumberFormat="1" applyFont="1" applyFill="1" applyAlignment="1">
      <alignment horizontal="center" vertical="top"/>
    </xf>
    <xf numFmtId="0" fontId="4" fillId="0" borderId="0" xfId="0" applyFont="1" applyFill="1" applyAlignment="1">
      <alignment horizontal="left" wrapText="1" shrinkToFit="1"/>
    </xf>
    <xf numFmtId="0" fontId="1" fillId="0" borderId="4" xfId="0" applyFont="1" applyFill="1" applyBorder="1" applyAlignment="1">
      <alignment horizontal="center" vertical="center"/>
    </xf>
    <xf numFmtId="0" fontId="1" fillId="0" borderId="0" xfId="0" applyFont="1" applyFill="1" applyBorder="1" applyAlignment="1">
      <alignment horizontal="center" wrapText="1"/>
    </xf>
    <xf numFmtId="49" fontId="1" fillId="0" borderId="4" xfId="0" applyNumberFormat="1" applyFont="1" applyFill="1" applyBorder="1" applyAlignment="1">
      <alignment horizontal="center" vertical="top"/>
    </xf>
    <xf numFmtId="0" fontId="1" fillId="0" borderId="4" xfId="0" applyFont="1" applyFill="1" applyBorder="1" applyAlignment="1">
      <alignment horizontal="center" wrapText="1" shrinkToFit="1"/>
    </xf>
    <xf numFmtId="0" fontId="1" fillId="0" borderId="4" xfId="0" applyFont="1" applyFill="1" applyBorder="1" applyAlignment="1">
      <alignment horizontal="center"/>
    </xf>
    <xf numFmtId="173" fontId="7" fillId="0" borderId="0" xfId="0" applyNumberFormat="1" applyFont="1" applyFill="1" applyBorder="1" applyAlignment="1">
      <alignment horizontal="center"/>
    </xf>
    <xf numFmtId="0" fontId="7" fillId="0" borderId="0" xfId="0" applyFont="1" applyFill="1" applyAlignment="1">
      <alignment horizontal="center"/>
    </xf>
    <xf numFmtId="49" fontId="1" fillId="0" borderId="10" xfId="0" applyNumberFormat="1" applyFont="1" applyFill="1" applyBorder="1" applyAlignment="1">
      <alignment horizontal="center" vertical="top"/>
    </xf>
    <xf numFmtId="0" fontId="1" fillId="0" borderId="11" xfId="0" applyFont="1" applyFill="1" applyBorder="1" applyAlignment="1">
      <alignment horizontal="left" wrapText="1" shrinkToFit="1"/>
    </xf>
    <xf numFmtId="172" fontId="1" fillId="0" borderId="11" xfId="0" applyNumberFormat="1" applyFont="1" applyFill="1" applyBorder="1" applyAlignment="1">
      <alignment horizontal="center"/>
    </xf>
    <xf numFmtId="172" fontId="1" fillId="0" borderId="12" xfId="0" applyNumberFormat="1" applyFont="1" applyFill="1" applyBorder="1" applyAlignment="1">
      <alignment horizontal="center"/>
    </xf>
    <xf numFmtId="172" fontId="10" fillId="0" borderId="5" xfId="0" applyNumberFormat="1" applyFont="1" applyFill="1" applyBorder="1" applyAlignment="1">
      <alignment horizontal="center"/>
    </xf>
    <xf numFmtId="172" fontId="1" fillId="0" borderId="7" xfId="0" applyNumberFormat="1" applyFont="1" applyFill="1" applyBorder="1" applyAlignment="1">
      <alignment horizontal="center"/>
    </xf>
    <xf numFmtId="0" fontId="3" fillId="0" borderId="5" xfId="0" applyFont="1" applyFill="1" applyBorder="1" applyAlignment="1">
      <alignment horizontal="left" wrapText="1" shrinkToFit="1"/>
    </xf>
    <xf numFmtId="172" fontId="3" fillId="0" borderId="5" xfId="0" applyNumberFormat="1" applyFont="1" applyFill="1" applyBorder="1" applyAlignment="1">
      <alignment horizontal="center"/>
    </xf>
    <xf numFmtId="172" fontId="3" fillId="0" borderId="7" xfId="0" applyNumberFormat="1" applyFont="1" applyFill="1" applyBorder="1" applyAlignment="1">
      <alignment horizontal="center"/>
    </xf>
    <xf numFmtId="0" fontId="1" fillId="0" borderId="5" xfId="0" applyFont="1" applyFill="1" applyBorder="1" applyAlignment="1">
      <alignment wrapText="1" shrinkToFit="1"/>
    </xf>
    <xf numFmtId="172" fontId="1" fillId="0" borderId="5" xfId="0" applyNumberFormat="1" applyFont="1" applyFill="1" applyBorder="1" applyAlignment="1">
      <alignment horizontal="center" vertical="center"/>
    </xf>
    <xf numFmtId="172" fontId="1" fillId="0" borderId="7" xfId="0" applyNumberFormat="1" applyFont="1" applyFill="1" applyBorder="1" applyAlignment="1">
      <alignment horizontal="center" vertical="center"/>
    </xf>
    <xf numFmtId="172" fontId="11" fillId="0" borderId="5" xfId="0" applyNumberFormat="1" applyFont="1" applyFill="1" applyBorder="1" applyAlignment="1">
      <alignment horizontal="center"/>
    </xf>
    <xf numFmtId="172" fontId="7" fillId="0" borderId="0" xfId="0" applyNumberFormat="1" applyFont="1" applyFill="1" applyAlignment="1">
      <alignment horizontal="center"/>
    </xf>
    <xf numFmtId="0" fontId="10" fillId="0" borderId="5" xfId="0" applyFont="1" applyFill="1" applyBorder="1" applyAlignment="1">
      <alignment wrapText="1"/>
    </xf>
    <xf numFmtId="0" fontId="1" fillId="0" borderId="5" xfId="0" applyFont="1" applyFill="1" applyBorder="1" applyAlignment="1">
      <alignment horizontal="justify" vertical="top" wrapText="1"/>
    </xf>
    <xf numFmtId="0" fontId="3" fillId="0" borderId="5" xfId="0" applyFont="1" applyFill="1" applyBorder="1" applyAlignment="1">
      <alignment horizontal="left" vertical="top" wrapText="1" shrinkToFit="1"/>
    </xf>
    <xf numFmtId="172" fontId="3" fillId="0" borderId="8" xfId="0" applyNumberFormat="1" applyFont="1" applyFill="1" applyBorder="1" applyAlignment="1">
      <alignment horizontal="center"/>
    </xf>
    <xf numFmtId="172" fontId="3" fillId="0" borderId="9" xfId="0" applyNumberFormat="1" applyFont="1" applyFill="1" applyBorder="1" applyAlignment="1">
      <alignment horizontal="center"/>
    </xf>
    <xf numFmtId="172" fontId="4" fillId="0" borderId="0" xfId="0" applyNumberFormat="1" applyFont="1" applyFill="1" applyAlignment="1">
      <alignment horizontal="left" wrapText="1" shrinkToFit="1"/>
    </xf>
    <xf numFmtId="172" fontId="3" fillId="0" borderId="0" xfId="0" applyNumberFormat="1" applyFont="1" applyFill="1" applyAlignment="1">
      <alignment horizontal="center"/>
    </xf>
    <xf numFmtId="0" fontId="2" fillId="0" borderId="0" xfId="0" applyFont="1" applyFill="1" applyAlignment="1">
      <alignment wrapText="1"/>
    </xf>
    <xf numFmtId="0" fontId="14"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vertical="center"/>
    </xf>
    <xf numFmtId="0" fontId="3" fillId="0" borderId="0" xfId="0" applyFont="1" applyFill="1" applyBorder="1" applyAlignment="1">
      <alignment horizontal="center" vertical="center" wrapText="1"/>
    </xf>
    <xf numFmtId="0" fontId="4" fillId="0" borderId="10" xfId="0" applyFont="1" applyFill="1" applyBorder="1" applyAlignment="1">
      <alignment horizontal="left" vertical="center" wrapText="1"/>
    </xf>
    <xf numFmtId="172" fontId="5" fillId="0" borderId="13" xfId="0" applyNumberFormat="1" applyFont="1" applyFill="1" applyBorder="1" applyAlignment="1">
      <alignment horizontal="center"/>
    </xf>
    <xf numFmtId="172" fontId="5" fillId="0" borderId="11" xfId="0" applyNumberFormat="1" applyFont="1" applyFill="1" applyBorder="1" applyAlignment="1">
      <alignment horizontal="center"/>
    </xf>
    <xf numFmtId="0" fontId="4" fillId="0" borderId="13" xfId="0" applyFont="1" applyFill="1" applyBorder="1" applyAlignment="1">
      <alignment/>
    </xf>
    <xf numFmtId="179" fontId="5" fillId="0" borderId="13" xfId="0" applyNumberFormat="1" applyFont="1" applyFill="1" applyBorder="1" applyAlignment="1">
      <alignment horizontal="center"/>
    </xf>
    <xf numFmtId="179" fontId="5" fillId="0" borderId="14" xfId="0" applyNumberFormat="1" applyFont="1" applyFill="1" applyBorder="1" applyAlignment="1">
      <alignment horizontal="center"/>
    </xf>
    <xf numFmtId="173" fontId="15" fillId="0" borderId="0" xfId="0" applyNumberFormat="1" applyFont="1" applyFill="1" applyAlignment="1">
      <alignment horizontal="right"/>
    </xf>
    <xf numFmtId="0" fontId="4" fillId="0" borderId="0" xfId="0" applyFont="1" applyFill="1" applyAlignment="1">
      <alignment/>
    </xf>
    <xf numFmtId="0" fontId="4" fillId="0" borderId="6" xfId="0" applyFont="1" applyFill="1" applyBorder="1" applyAlignment="1">
      <alignment/>
    </xf>
    <xf numFmtId="0" fontId="5" fillId="0" borderId="5" xfId="0" applyFont="1" applyFill="1" applyBorder="1" applyAlignment="1">
      <alignment horizontal="center"/>
    </xf>
    <xf numFmtId="0" fontId="4" fillId="0" borderId="5" xfId="0" applyFont="1" applyFill="1" applyBorder="1" applyAlignment="1">
      <alignment/>
    </xf>
    <xf numFmtId="179" fontId="5" fillId="0" borderId="5" xfId="0" applyNumberFormat="1" applyFont="1" applyFill="1" applyBorder="1" applyAlignment="1">
      <alignment horizontal="center"/>
    </xf>
    <xf numFmtId="179" fontId="5" fillId="0" borderId="15" xfId="0" applyNumberFormat="1" applyFont="1" applyFill="1" applyBorder="1" applyAlignment="1">
      <alignment horizontal="center"/>
    </xf>
    <xf numFmtId="172" fontId="5" fillId="0" borderId="15" xfId="0" applyNumberFormat="1" applyFont="1" applyFill="1" applyBorder="1" applyAlignment="1">
      <alignment horizontal="center"/>
    </xf>
    <xf numFmtId="0" fontId="4" fillId="0" borderId="16" xfId="0" applyFont="1" applyFill="1" applyBorder="1" applyAlignment="1">
      <alignment/>
    </xf>
    <xf numFmtId="172" fontId="5" fillId="0" borderId="8" xfId="0" applyNumberFormat="1" applyFont="1" applyFill="1" applyBorder="1" applyAlignment="1">
      <alignment horizontal="center"/>
    </xf>
    <xf numFmtId="172" fontId="5" fillId="0" borderId="8" xfId="0" applyNumberFormat="1" applyFont="1" applyFill="1" applyBorder="1" applyAlignment="1" applyProtection="1">
      <alignment horizontal="center"/>
      <protection/>
    </xf>
    <xf numFmtId="172" fontId="5" fillId="0" borderId="17" xfId="0" applyNumberFormat="1" applyFont="1" applyFill="1" applyBorder="1" applyAlignment="1">
      <alignment horizontal="center"/>
    </xf>
    <xf numFmtId="0" fontId="9" fillId="0" borderId="2" xfId="0" applyFont="1" applyFill="1" applyBorder="1" applyAlignment="1">
      <alignment vertical="center"/>
    </xf>
    <xf numFmtId="172" fontId="2" fillId="0" borderId="2" xfId="0" applyNumberFormat="1" applyFont="1" applyFill="1" applyBorder="1" applyAlignment="1">
      <alignment horizontal="center"/>
    </xf>
    <xf numFmtId="172" fontId="2" fillId="0" borderId="2" xfId="0" applyNumberFormat="1" applyFont="1" applyFill="1" applyBorder="1" applyAlignment="1" applyProtection="1">
      <alignment horizontal="center"/>
      <protection/>
    </xf>
    <xf numFmtId="173" fontId="15" fillId="0" borderId="0" xfId="0" applyNumberFormat="1" applyFont="1" applyFill="1" applyAlignment="1">
      <alignment horizontal="center"/>
    </xf>
    <xf numFmtId="172" fontId="2" fillId="0" borderId="0" xfId="0" applyNumberFormat="1" applyFont="1" applyFill="1" applyAlignment="1">
      <alignment horizontal="center"/>
    </xf>
    <xf numFmtId="172" fontId="2" fillId="0" borderId="12" xfId="0" applyNumberFormat="1" applyFont="1" applyFill="1" applyBorder="1" applyAlignment="1">
      <alignment horizontal="center"/>
    </xf>
    <xf numFmtId="172" fontId="2" fillId="0" borderId="7" xfId="0" applyNumberFormat="1" applyFont="1" applyFill="1" applyBorder="1" applyAlignment="1">
      <alignment horizontal="center"/>
    </xf>
    <xf numFmtId="172" fontId="2" fillId="0" borderId="18" xfId="0" applyNumberFormat="1" applyFont="1" applyFill="1" applyBorder="1" applyAlignment="1">
      <alignment horizontal="center"/>
    </xf>
    <xf numFmtId="172" fontId="2" fillId="0" borderId="4" xfId="0" applyNumberFormat="1" applyFont="1" applyFill="1" applyBorder="1" applyAlignment="1">
      <alignment horizontal="center"/>
    </xf>
    <xf numFmtId="0" fontId="3" fillId="0" borderId="3" xfId="0" applyFont="1" applyFill="1" applyBorder="1" applyAlignment="1">
      <alignment horizontal="center"/>
    </xf>
    <xf numFmtId="49" fontId="1" fillId="0" borderId="19" xfId="0" applyNumberFormat="1" applyFont="1" applyFill="1" applyBorder="1" applyAlignment="1">
      <alignment vertical="top"/>
    </xf>
    <xf numFmtId="0" fontId="3" fillId="0" borderId="20" xfId="0" applyFont="1" applyFill="1" applyBorder="1" applyAlignment="1">
      <alignment/>
    </xf>
    <xf numFmtId="9" fontId="3" fillId="0" borderId="21"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172" fontId="1" fillId="0" borderId="15" xfId="0" applyNumberFormat="1" applyFont="1" applyFill="1" applyBorder="1" applyAlignment="1">
      <alignment horizontal="right"/>
    </xf>
    <xf numFmtId="172" fontId="1" fillId="0" borderId="13" xfId="0" applyNumberFormat="1" applyFont="1" applyFill="1" applyBorder="1" applyAlignment="1">
      <alignment horizontal="right"/>
    </xf>
    <xf numFmtId="49" fontId="1" fillId="0" borderId="22" xfId="0" applyNumberFormat="1" applyFont="1" applyFill="1" applyBorder="1" applyAlignment="1">
      <alignment vertical="top"/>
    </xf>
    <xf numFmtId="172" fontId="1" fillId="0" borderId="23" xfId="0" applyNumberFormat="1" applyFont="1" applyFill="1" applyBorder="1" applyAlignment="1">
      <alignment horizontal="center"/>
    </xf>
    <xf numFmtId="172" fontId="1" fillId="0" borderId="13" xfId="0" applyNumberFormat="1" applyFont="1" applyFill="1" applyBorder="1" applyAlignment="1">
      <alignment horizontal="center"/>
    </xf>
    <xf numFmtId="172" fontId="1" fillId="0" borderId="24" xfId="0" applyNumberFormat="1" applyFont="1" applyFill="1" applyBorder="1" applyAlignment="1">
      <alignment horizontal="center"/>
    </xf>
    <xf numFmtId="172" fontId="1" fillId="0" borderId="18" xfId="0" applyNumberFormat="1" applyFont="1" applyFill="1" applyBorder="1" applyAlignment="1">
      <alignment horizontal="center"/>
    </xf>
    <xf numFmtId="49" fontId="1" fillId="0" borderId="20" xfId="0" applyNumberFormat="1" applyFont="1" applyFill="1" applyBorder="1" applyAlignment="1">
      <alignment horizontal="center" vertical="top"/>
    </xf>
    <xf numFmtId="172" fontId="1" fillId="0" borderId="25" xfId="0" applyNumberFormat="1" applyFont="1" applyFill="1" applyBorder="1" applyAlignment="1">
      <alignment horizontal="center"/>
    </xf>
    <xf numFmtId="49" fontId="3" fillId="0" borderId="26" xfId="0" applyNumberFormat="1" applyFont="1" applyFill="1" applyBorder="1" applyAlignment="1">
      <alignment horizontal="center" vertical="top"/>
    </xf>
    <xf numFmtId="0" fontId="3" fillId="0" borderId="27" xfId="0" applyFont="1" applyFill="1" applyBorder="1" applyAlignment="1">
      <alignment horizontal="left" wrapText="1" shrinkToFit="1"/>
    </xf>
    <xf numFmtId="172" fontId="3" fillId="0" borderId="27" xfId="0" applyNumberFormat="1" applyFont="1" applyFill="1" applyBorder="1" applyAlignment="1">
      <alignment horizontal="center"/>
    </xf>
    <xf numFmtId="172" fontId="3" fillId="0" borderId="28" xfId="0" applyNumberFormat="1" applyFont="1" applyFill="1" applyBorder="1" applyAlignment="1">
      <alignment horizontal="center"/>
    </xf>
    <xf numFmtId="49" fontId="4" fillId="0" borderId="29"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0" fontId="4" fillId="0" borderId="30" xfId="0" applyFont="1" applyFill="1" applyBorder="1" applyAlignment="1">
      <alignment horizontal="center"/>
    </xf>
    <xf numFmtId="0" fontId="4" fillId="0" borderId="23" xfId="0" applyFont="1" applyFill="1" applyBorder="1" applyAlignment="1">
      <alignment vertical="top" wrapText="1"/>
    </xf>
    <xf numFmtId="9" fontId="4" fillId="0" borderId="23" xfId="0" applyNumberFormat="1" applyFont="1" applyFill="1" applyBorder="1" applyAlignment="1">
      <alignment vertical="center" wrapText="1"/>
    </xf>
    <xf numFmtId="49" fontId="1" fillId="0" borderId="30" xfId="0" applyNumberFormat="1" applyFont="1" applyFill="1" applyBorder="1" applyAlignment="1">
      <alignment horizontal="center" vertical="top"/>
    </xf>
    <xf numFmtId="9" fontId="4" fillId="0" borderId="5" xfId="0" applyNumberFormat="1" applyFont="1" applyFill="1" applyBorder="1" applyAlignment="1">
      <alignment vertical="center" wrapText="1"/>
    </xf>
    <xf numFmtId="172" fontId="1" fillId="0" borderId="24" xfId="0" applyNumberFormat="1" applyFont="1" applyFill="1" applyBorder="1" applyAlignment="1">
      <alignment horizontal="right"/>
    </xf>
    <xf numFmtId="172" fontId="1" fillId="0" borderId="23" xfId="0" applyNumberFormat="1" applyFont="1" applyFill="1" applyBorder="1" applyAlignment="1">
      <alignment horizontal="right"/>
    </xf>
    <xf numFmtId="172" fontId="3" fillId="0" borderId="23" xfId="0" applyNumberFormat="1" applyFont="1" applyFill="1" applyBorder="1" applyAlignment="1">
      <alignment horizontal="right"/>
    </xf>
    <xf numFmtId="172" fontId="1" fillId="0" borderId="18" xfId="0" applyNumberFormat="1" applyFont="1" applyFill="1" applyBorder="1" applyAlignment="1">
      <alignment horizontal="right"/>
    </xf>
    <xf numFmtId="49" fontId="1" fillId="0" borderId="31" xfId="0" applyNumberFormat="1" applyFont="1" applyFill="1" applyBorder="1" applyAlignment="1">
      <alignment horizontal="center" vertical="top"/>
    </xf>
    <xf numFmtId="172" fontId="1" fillId="0" borderId="24" xfId="0" applyNumberFormat="1" applyFont="1" applyFill="1" applyBorder="1" applyAlignment="1">
      <alignment/>
    </xf>
    <xf numFmtId="172" fontId="1" fillId="0" borderId="18" xfId="0" applyNumberFormat="1" applyFont="1" applyFill="1" applyBorder="1" applyAlignment="1">
      <alignment/>
    </xf>
    <xf numFmtId="0" fontId="3" fillId="0" borderId="30" xfId="0" applyFont="1" applyFill="1" applyBorder="1" applyAlignment="1">
      <alignment/>
    </xf>
    <xf numFmtId="49" fontId="1" fillId="0" borderId="30" xfId="0" applyNumberFormat="1" applyFont="1" applyFill="1" applyBorder="1" applyAlignment="1">
      <alignment horizontal="center" vertical="top" wrapText="1"/>
    </xf>
    <xf numFmtId="0" fontId="1" fillId="0" borderId="13" xfId="0" applyFont="1" applyFill="1" applyBorder="1" applyAlignment="1">
      <alignment horizontal="left" wrapText="1"/>
    </xf>
    <xf numFmtId="49" fontId="3" fillId="0" borderId="10" xfId="0" applyNumberFormat="1" applyFont="1" applyFill="1" applyBorder="1" applyAlignment="1">
      <alignment horizontal="center" vertical="top" wrapText="1"/>
    </xf>
    <xf numFmtId="0" fontId="3" fillId="0" borderId="11" xfId="0" applyFont="1" applyFill="1" applyBorder="1" applyAlignment="1">
      <alignment horizontal="left" wrapText="1"/>
    </xf>
    <xf numFmtId="9" fontId="4" fillId="0" borderId="32" xfId="0" applyNumberFormat="1" applyFont="1" applyFill="1" applyBorder="1" applyAlignment="1">
      <alignment horizontal="left" vertical="center" wrapText="1"/>
    </xf>
    <xf numFmtId="9" fontId="4" fillId="0" borderId="1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5" xfId="0" applyNumberFormat="1" applyFont="1" applyFill="1" applyBorder="1" applyAlignment="1">
      <alignment horizontal="left" vertical="center" wrapText="1"/>
    </xf>
    <xf numFmtId="9" fontId="4" fillId="0" borderId="13" xfId="0" applyNumberFormat="1" applyFont="1" applyFill="1" applyBorder="1" applyAlignment="1">
      <alignment vertical="center" wrapText="1"/>
    </xf>
    <xf numFmtId="0" fontId="1" fillId="0" borderId="0" xfId="0" applyFont="1" applyAlignment="1">
      <alignment/>
    </xf>
    <xf numFmtId="0" fontId="3" fillId="0" borderId="0" xfId="0" applyFont="1" applyAlignment="1">
      <alignment horizontal="center" wrapText="1"/>
    </xf>
    <xf numFmtId="0" fontId="1" fillId="0" borderId="0" xfId="0" applyFont="1" applyAlignment="1">
      <alignment horizontal="right"/>
    </xf>
    <xf numFmtId="0" fontId="3" fillId="0" borderId="33" xfId="0" applyFont="1" applyFill="1" applyBorder="1" applyAlignment="1">
      <alignment horizontal="center" vertical="top" wrapText="1"/>
    </xf>
    <xf numFmtId="0" fontId="3" fillId="0" borderId="4" xfId="0" applyFont="1" applyBorder="1" applyAlignment="1">
      <alignment horizontal="center" vertical="top" wrapText="1"/>
    </xf>
    <xf numFmtId="0" fontId="1" fillId="0" borderId="33" xfId="0" applyFont="1" applyFill="1" applyBorder="1" applyAlignment="1">
      <alignment horizontal="left" vertical="center" wrapText="1"/>
    </xf>
    <xf numFmtId="172" fontId="1" fillId="0" borderId="4"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0" borderId="29" xfId="0" applyFont="1" applyFill="1" applyBorder="1" applyAlignment="1">
      <alignment horizontal="left" vertical="center" wrapText="1"/>
    </xf>
    <xf numFmtId="172" fontId="1" fillId="0" borderId="34" xfId="0" applyNumberFormat="1" applyFont="1" applyBorder="1" applyAlignment="1">
      <alignment horizontal="center" vertical="center" wrapText="1"/>
    </xf>
    <xf numFmtId="0" fontId="1" fillId="0" borderId="35" xfId="0" applyFont="1" applyBorder="1" applyAlignment="1">
      <alignment vertical="center"/>
    </xf>
    <xf numFmtId="172" fontId="1" fillId="0" borderId="34" xfId="0" applyNumberFormat="1" applyFont="1" applyFill="1" applyBorder="1" applyAlignment="1">
      <alignment horizontal="center" vertical="center" wrapText="1"/>
    </xf>
    <xf numFmtId="0" fontId="1" fillId="0" borderId="31" xfId="0" applyFont="1" applyFill="1" applyBorder="1" applyAlignment="1">
      <alignment horizontal="left" vertical="center" wrapText="1"/>
    </xf>
    <xf numFmtId="172" fontId="1" fillId="0" borderId="36" xfId="0" applyNumberFormat="1" applyFont="1" applyFill="1" applyBorder="1" applyAlignment="1">
      <alignment horizontal="center" vertical="center" wrapText="1"/>
    </xf>
    <xf numFmtId="0" fontId="1" fillId="0" borderId="31" xfId="0" applyFont="1" applyBorder="1" applyAlignment="1">
      <alignment horizontal="left" vertical="center"/>
    </xf>
    <xf numFmtId="172" fontId="1" fillId="0" borderId="36" xfId="0" applyNumberFormat="1" applyFont="1" applyBorder="1" applyAlignment="1">
      <alignment vertical="center"/>
    </xf>
    <xf numFmtId="172" fontId="1" fillId="0" borderId="36" xfId="0" applyNumberFormat="1" applyFont="1" applyFill="1" applyBorder="1" applyAlignment="1">
      <alignment horizontal="center" vertical="center"/>
    </xf>
    <xf numFmtId="0" fontId="1" fillId="0" borderId="31" xfId="0" applyFont="1" applyBorder="1" applyAlignment="1">
      <alignment vertical="center"/>
    </xf>
    <xf numFmtId="0" fontId="1" fillId="0" borderId="35" xfId="0" applyFont="1" applyBorder="1" applyAlignment="1">
      <alignment vertical="top" wrapText="1"/>
    </xf>
    <xf numFmtId="0" fontId="3" fillId="0" borderId="22" xfId="0" applyFont="1" applyBorder="1" applyAlignment="1">
      <alignment/>
    </xf>
    <xf numFmtId="172" fontId="3" fillId="0" borderId="37" xfId="0" applyNumberFormat="1" applyFont="1" applyFill="1" applyBorder="1" applyAlignment="1">
      <alignment horizontal="center"/>
    </xf>
    <xf numFmtId="0" fontId="1" fillId="0" borderId="35" xfId="0" applyFont="1" applyBorder="1" applyAlignment="1">
      <alignment/>
    </xf>
    <xf numFmtId="0" fontId="3" fillId="0" borderId="33" xfId="0" applyFont="1" applyBorder="1" applyAlignment="1">
      <alignment horizontal="center"/>
    </xf>
    <xf numFmtId="172" fontId="3" fillId="0" borderId="4" xfId="0" applyNumberFormat="1" applyFont="1" applyBorder="1" applyAlignment="1">
      <alignment horizontal="center"/>
    </xf>
    <xf numFmtId="0" fontId="1" fillId="0" borderId="38" xfId="0" applyFont="1" applyBorder="1" applyAlignment="1">
      <alignment/>
    </xf>
    <xf numFmtId="49" fontId="1" fillId="0" borderId="0" xfId="0" applyNumberFormat="1" applyFont="1" applyFill="1" applyAlignment="1">
      <alignment horizontal="center"/>
    </xf>
    <xf numFmtId="49" fontId="1" fillId="0" borderId="6" xfId="0" applyNumberFormat="1" applyFont="1" applyFill="1" applyBorder="1" applyAlignment="1">
      <alignment horizontal="left" vertical="top" wrapText="1"/>
    </xf>
    <xf numFmtId="172" fontId="1" fillId="0" borderId="37" xfId="0" applyNumberFormat="1" applyFont="1" applyFill="1" applyBorder="1" applyAlignment="1">
      <alignment horizontal="center" vertical="center"/>
    </xf>
    <xf numFmtId="172" fontId="1" fillId="0" borderId="34" xfId="0" applyNumberFormat="1" applyFont="1" applyFill="1" applyBorder="1" applyAlignment="1">
      <alignment horizontal="center" vertical="center"/>
    </xf>
    <xf numFmtId="172" fontId="1" fillId="0" borderId="4" xfId="0" applyNumberFormat="1" applyFont="1" applyFill="1" applyBorder="1" applyAlignment="1">
      <alignment horizontal="center" vertical="center"/>
    </xf>
    <xf numFmtId="0" fontId="0" fillId="0" borderId="0" xfId="0" applyAlignment="1">
      <alignment wrapText="1"/>
    </xf>
    <xf numFmtId="0" fontId="1" fillId="0" borderId="0" xfId="0" applyFont="1" applyFill="1" applyAlignment="1">
      <alignment horizontal="right" vertical="center"/>
    </xf>
    <xf numFmtId="49" fontId="1" fillId="0" borderId="20" xfId="0" applyNumberFormat="1" applyFont="1" applyFill="1" applyBorder="1" applyAlignment="1">
      <alignment horizontal="center"/>
    </xf>
    <xf numFmtId="0" fontId="1" fillId="0" borderId="0" xfId="0" applyFont="1" applyFill="1" applyBorder="1" applyAlignment="1">
      <alignment horizontal="center" vertical="center" wrapText="1"/>
    </xf>
    <xf numFmtId="3" fontId="1" fillId="0" borderId="0" xfId="0" applyNumberFormat="1" applyFont="1" applyFill="1" applyBorder="1" applyAlignment="1">
      <alignment horizontal="center" wrapText="1"/>
    </xf>
    <xf numFmtId="0" fontId="3" fillId="0" borderId="14" xfId="0" applyFont="1" applyFill="1" applyBorder="1" applyAlignment="1">
      <alignment horizontal="center" vertical="center" wrapText="1"/>
    </xf>
    <xf numFmtId="0" fontId="6" fillId="0" borderId="0" xfId="0" applyFont="1" applyAlignment="1">
      <alignment/>
    </xf>
    <xf numFmtId="0" fontId="1" fillId="0" borderId="3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1" fillId="0" borderId="0" xfId="0" applyFont="1" applyFill="1" applyAlignment="1">
      <alignment horizontal="left"/>
    </xf>
    <xf numFmtId="0" fontId="1" fillId="0" borderId="4" xfId="0" applyFont="1" applyBorder="1" applyAlignment="1">
      <alignment horizontal="center" vertical="center" wrapText="1"/>
    </xf>
    <xf numFmtId="173" fontId="1" fillId="0" borderId="4" xfId="0" applyNumberFormat="1" applyFont="1" applyBorder="1" applyAlignment="1">
      <alignment horizontal="center"/>
    </xf>
    <xf numFmtId="173" fontId="1" fillId="0" borderId="4" xfId="0" applyNumberFormat="1" applyFont="1" applyBorder="1" applyAlignment="1">
      <alignment horizontal="center" wrapText="1"/>
    </xf>
    <xf numFmtId="0" fontId="1" fillId="0" borderId="41" xfId="0" applyFont="1" applyBorder="1" applyAlignment="1">
      <alignment horizontal="right" vertical="center" wrapText="1"/>
    </xf>
    <xf numFmtId="0" fontId="1" fillId="0" borderId="4" xfId="0" applyFont="1" applyBorder="1" applyAlignment="1">
      <alignment horizontal="center"/>
    </xf>
    <xf numFmtId="0" fontId="1" fillId="0" borderId="4" xfId="0" applyFont="1" applyBorder="1" applyAlignment="1">
      <alignment wrapText="1"/>
    </xf>
    <xf numFmtId="0" fontId="1" fillId="0" borderId="41" xfId="0" applyFont="1" applyBorder="1" applyAlignment="1">
      <alignment horizontal="right"/>
    </xf>
    <xf numFmtId="0" fontId="1" fillId="0" borderId="4" xfId="0" applyFont="1" applyBorder="1" applyAlignment="1">
      <alignment horizontal="right"/>
    </xf>
    <xf numFmtId="173" fontId="0" fillId="0" borderId="0" xfId="0" applyNumberFormat="1" applyAlignment="1">
      <alignment/>
    </xf>
    <xf numFmtId="0" fontId="1" fillId="0" borderId="5"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0" xfId="0" applyFont="1" applyFill="1" applyBorder="1" applyAlignment="1">
      <alignment wrapText="1"/>
    </xf>
    <xf numFmtId="0" fontId="0" fillId="2" borderId="0" xfId="0" applyFill="1" applyAlignment="1">
      <alignment/>
    </xf>
    <xf numFmtId="49" fontId="3" fillId="2" borderId="5" xfId="0" applyNumberFormat="1" applyFont="1" applyFill="1" applyBorder="1" applyAlignment="1">
      <alignment horizontal="center" vertical="center" wrapText="1"/>
    </xf>
    <xf numFmtId="187" fontId="0" fillId="0" borderId="0" xfId="0" applyNumberFormat="1" applyAlignment="1">
      <alignment horizontal="right"/>
    </xf>
    <xf numFmtId="187" fontId="6" fillId="0" borderId="0" xfId="0" applyNumberFormat="1" applyFont="1" applyAlignment="1">
      <alignment horizontal="right"/>
    </xf>
    <xf numFmtId="187" fontId="1" fillId="0" borderId="0" xfId="0" applyNumberFormat="1" applyFont="1" applyFill="1" applyBorder="1" applyAlignment="1">
      <alignment horizontal="right" wrapText="1"/>
    </xf>
    <xf numFmtId="187" fontId="1" fillId="2" borderId="0" xfId="0" applyNumberFormat="1" applyFont="1" applyFill="1" applyBorder="1" applyAlignment="1">
      <alignment horizontal="right" wrapText="1"/>
    </xf>
    <xf numFmtId="187" fontId="1" fillId="0" borderId="0" xfId="0" applyNumberFormat="1" applyFont="1" applyFill="1" applyBorder="1" applyAlignment="1">
      <alignment horizontal="right" vertical="center" wrapText="1"/>
    </xf>
    <xf numFmtId="187" fontId="1" fillId="2" borderId="0" xfId="0" applyNumberFormat="1" applyFont="1" applyFill="1" applyBorder="1" applyAlignment="1">
      <alignment horizontal="right" vertical="center" wrapText="1"/>
    </xf>
    <xf numFmtId="49" fontId="17" fillId="2" borderId="5" xfId="0" applyNumberFormat="1" applyFont="1" applyFill="1" applyBorder="1" applyAlignment="1">
      <alignment horizontal="center" vertical="center" wrapText="1"/>
    </xf>
    <xf numFmtId="0" fontId="1" fillId="0" borderId="5" xfId="0" applyFont="1" applyFill="1" applyBorder="1" applyAlignment="1">
      <alignment horizontal="center" vertical="top" wrapText="1"/>
    </xf>
    <xf numFmtId="49" fontId="3" fillId="2" borderId="15"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9" fillId="0" borderId="0" xfId="0" applyFont="1" applyFill="1" applyBorder="1" applyAlignment="1">
      <alignment horizontal="center" wrapText="1"/>
    </xf>
    <xf numFmtId="187" fontId="19" fillId="0" borderId="0" xfId="0" applyNumberFormat="1" applyFont="1" applyFill="1" applyBorder="1" applyAlignment="1">
      <alignment horizontal="right" wrapText="1"/>
    </xf>
    <xf numFmtId="187" fontId="19" fillId="0" borderId="0" xfId="0" applyNumberFormat="1" applyFont="1" applyFill="1" applyBorder="1" applyAlignment="1">
      <alignment horizontal="right" vertical="center" wrapText="1"/>
    </xf>
    <xf numFmtId="0" fontId="19" fillId="2" borderId="0" xfId="0" applyFont="1" applyFill="1" applyBorder="1" applyAlignment="1">
      <alignment wrapText="1"/>
    </xf>
    <xf numFmtId="187" fontId="19" fillId="2" borderId="0" xfId="0" applyNumberFormat="1" applyFont="1" applyFill="1" applyBorder="1" applyAlignment="1">
      <alignment horizontal="right" wrapText="1"/>
    </xf>
    <xf numFmtId="0" fontId="20" fillId="0" borderId="0" xfId="0" applyFont="1" applyAlignment="1">
      <alignment/>
    </xf>
    <xf numFmtId="187" fontId="20" fillId="0" borderId="0" xfId="0" applyNumberFormat="1" applyFont="1" applyAlignment="1">
      <alignment horizontal="right"/>
    </xf>
    <xf numFmtId="0" fontId="15" fillId="0" borderId="5" xfId="0" applyFont="1" applyFill="1" applyBorder="1" applyAlignment="1">
      <alignment horizontal="center" wrapText="1"/>
    </xf>
    <xf numFmtId="187" fontId="15" fillId="0" borderId="5" xfId="0" applyNumberFormat="1" applyFont="1" applyFill="1" applyBorder="1" applyAlignment="1">
      <alignment horizontal="right" wrapText="1"/>
    </xf>
    <xf numFmtId="187" fontId="21" fillId="0" borderId="5" xfId="0" applyNumberFormat="1" applyFont="1" applyFill="1" applyBorder="1" applyAlignment="1">
      <alignment horizontal="right" wrapText="1"/>
    </xf>
    <xf numFmtId="187" fontId="15" fillId="2" borderId="5" xfId="0" applyNumberFormat="1" applyFont="1" applyFill="1" applyBorder="1" applyAlignment="1">
      <alignment horizontal="right" wrapText="1"/>
    </xf>
    <xf numFmtId="187" fontId="21" fillId="2" borderId="5" xfId="0" applyNumberFormat="1" applyFont="1" applyFill="1" applyBorder="1" applyAlignment="1">
      <alignment horizontal="right" wrapText="1"/>
    </xf>
    <xf numFmtId="187" fontId="15" fillId="0" borderId="5" xfId="0" applyNumberFormat="1" applyFont="1" applyBorder="1" applyAlignment="1">
      <alignment horizontal="right"/>
    </xf>
    <xf numFmtId="187" fontId="15" fillId="0" borderId="5" xfId="0" applyNumberFormat="1" applyFont="1" applyFill="1" applyBorder="1" applyAlignment="1">
      <alignment wrapText="1"/>
    </xf>
    <xf numFmtId="187" fontId="21" fillId="0" borderId="5" xfId="0" applyNumberFormat="1" applyFont="1" applyBorder="1" applyAlignment="1">
      <alignment horizontal="right"/>
    </xf>
    <xf numFmtId="187" fontId="2" fillId="0" borderId="5" xfId="0" applyNumberFormat="1" applyFont="1" applyBorder="1" applyAlignment="1">
      <alignment horizontal="right"/>
    </xf>
    <xf numFmtId="187" fontId="2" fillId="0" borderId="5" xfId="0" applyNumberFormat="1" applyFont="1" applyFill="1" applyBorder="1" applyAlignment="1">
      <alignment horizontal="right" vertical="center" wrapText="1"/>
    </xf>
    <xf numFmtId="187" fontId="22" fillId="0" borderId="5" xfId="0" applyNumberFormat="1" applyFont="1" applyFill="1" applyBorder="1" applyAlignment="1">
      <alignment horizontal="right" vertical="center" wrapText="1"/>
    </xf>
    <xf numFmtId="187" fontId="2" fillId="0" borderId="5" xfId="0" applyNumberFormat="1" applyFont="1" applyFill="1" applyBorder="1" applyAlignment="1">
      <alignment horizontal="right" vertical="center" wrapText="1" shrinkToFit="1"/>
    </xf>
    <xf numFmtId="187" fontId="22" fillId="0" borderId="5" xfId="0" applyNumberFormat="1" applyFont="1" applyFill="1" applyBorder="1" applyAlignment="1">
      <alignment horizontal="right" vertical="center" wrapText="1" shrinkToFit="1"/>
    </xf>
    <xf numFmtId="172" fontId="1" fillId="2" borderId="5" xfId="0" applyNumberFormat="1" applyFont="1" applyFill="1" applyBorder="1" applyAlignment="1">
      <alignment/>
    </xf>
    <xf numFmtId="173" fontId="5" fillId="0" borderId="13" xfId="0" applyNumberFormat="1" applyFont="1" applyFill="1" applyBorder="1" applyAlignment="1">
      <alignment horizontal="center"/>
    </xf>
    <xf numFmtId="173" fontId="5" fillId="0" borderId="5" xfId="0" applyNumberFormat="1" applyFont="1" applyFill="1" applyBorder="1" applyAlignment="1">
      <alignment horizontal="center"/>
    </xf>
    <xf numFmtId="172" fontId="23" fillId="0" borderId="5" xfId="0" applyNumberFormat="1" applyFont="1" applyFill="1" applyBorder="1" applyAlignment="1">
      <alignment horizontal="right"/>
    </xf>
    <xf numFmtId="172" fontId="24" fillId="0" borderId="5" xfId="0" applyNumberFormat="1" applyFont="1" applyFill="1" applyBorder="1" applyAlignment="1">
      <alignment/>
    </xf>
    <xf numFmtId="172" fontId="3" fillId="0" borderId="9" xfId="0" applyNumberFormat="1" applyFont="1" applyFill="1" applyBorder="1" applyAlignment="1">
      <alignment/>
    </xf>
    <xf numFmtId="172" fontId="6" fillId="0" borderId="0" xfId="0" applyNumberFormat="1" applyFont="1" applyFill="1" applyBorder="1" applyAlignment="1">
      <alignment/>
    </xf>
    <xf numFmtId="173" fontId="0" fillId="0" borderId="0" xfId="0" applyNumberFormat="1" applyFont="1" applyFill="1" applyBorder="1" applyAlignment="1">
      <alignment/>
    </xf>
    <xf numFmtId="173" fontId="0" fillId="0" borderId="0" xfId="0" applyNumberFormat="1" applyFont="1" applyFill="1" applyAlignment="1">
      <alignment/>
    </xf>
    <xf numFmtId="173" fontId="6" fillId="0" borderId="0" xfId="0" applyNumberFormat="1" applyFont="1" applyFill="1" applyBorder="1" applyAlignment="1">
      <alignment/>
    </xf>
    <xf numFmtId="172" fontId="0" fillId="0" borderId="0" xfId="0" applyNumberFormat="1" applyFill="1" applyBorder="1" applyAlignment="1">
      <alignment/>
    </xf>
    <xf numFmtId="0" fontId="0" fillId="0" borderId="0" xfId="0" applyFill="1" applyAlignment="1">
      <alignment horizontal="center"/>
    </xf>
    <xf numFmtId="172" fontId="23" fillId="2" borderId="5" xfId="0" applyNumberFormat="1" applyFont="1" applyFill="1" applyBorder="1" applyAlignment="1">
      <alignment horizontal="right"/>
    </xf>
    <xf numFmtId="172" fontId="23" fillId="0" borderId="5" xfId="0" applyNumberFormat="1" applyFont="1" applyFill="1" applyBorder="1" applyAlignment="1">
      <alignment/>
    </xf>
    <xf numFmtId="172" fontId="24" fillId="0" borderId="5" xfId="0" applyNumberFormat="1" applyFont="1" applyFill="1" applyBorder="1" applyAlignment="1">
      <alignment horizontal="right"/>
    </xf>
    <xf numFmtId="172" fontId="23" fillId="0" borderId="11" xfId="0" applyNumberFormat="1" applyFont="1" applyFill="1" applyBorder="1" applyAlignment="1">
      <alignment horizontal="right"/>
    </xf>
    <xf numFmtId="172" fontId="24" fillId="0" borderId="13" xfId="0" applyNumberFormat="1" applyFont="1" applyFill="1" applyBorder="1" applyAlignment="1">
      <alignment horizontal="right"/>
    </xf>
    <xf numFmtId="172" fontId="23" fillId="0" borderId="5" xfId="0" applyNumberFormat="1" applyFont="1" applyFill="1" applyBorder="1" applyAlignment="1">
      <alignment horizontal="right" vertical="top"/>
    </xf>
    <xf numFmtId="0" fontId="3" fillId="0" borderId="16" xfId="0" applyFont="1" applyFill="1" applyBorder="1" applyAlignment="1">
      <alignment horizontal="center" wrapText="1"/>
    </xf>
    <xf numFmtId="0" fontId="3" fillId="0" borderId="8" xfId="0" applyFont="1" applyFill="1" applyBorder="1" applyAlignment="1">
      <alignment horizontal="center" wrapText="1"/>
    </xf>
    <xf numFmtId="172" fontId="3" fillId="0" borderId="5" xfId="0" applyNumberFormat="1" applyFont="1" applyFill="1" applyBorder="1" applyAlignment="1">
      <alignment horizontal="right"/>
    </xf>
    <xf numFmtId="172" fontId="1" fillId="0" borderId="15" xfId="0" applyNumberFormat="1" applyFont="1" applyFill="1" applyBorder="1" applyAlignment="1">
      <alignment horizontal="right"/>
    </xf>
    <xf numFmtId="0" fontId="1" fillId="0" borderId="21" xfId="0" applyFont="1" applyFill="1" applyBorder="1" applyAlignment="1">
      <alignment horizontal="center" wrapText="1" shrinkToFit="1"/>
    </xf>
    <xf numFmtId="0" fontId="1" fillId="0" borderId="4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3" xfId="0" applyFont="1" applyFill="1" applyBorder="1" applyAlignment="1">
      <alignment horizontal="center"/>
    </xf>
    <xf numFmtId="0" fontId="0" fillId="0" borderId="38" xfId="0" applyBorder="1" applyAlignment="1">
      <alignment horizont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Font="1" applyFill="1" applyAlignment="1">
      <alignment horizontal="left"/>
    </xf>
    <xf numFmtId="172" fontId="1" fillId="0" borderId="7" xfId="0" applyNumberFormat="1" applyFont="1" applyFill="1" applyBorder="1" applyAlignment="1">
      <alignment horizontal="right"/>
    </xf>
    <xf numFmtId="0" fontId="3" fillId="0" borderId="5" xfId="0" applyFont="1" applyFill="1" applyBorder="1" applyAlignment="1">
      <alignment horizontal="center" wrapText="1" shrinkToFit="1"/>
    </xf>
    <xf numFmtId="172" fontId="1" fillId="0" borderId="15" xfId="0" applyNumberFormat="1" applyFont="1" applyFill="1" applyBorder="1" applyAlignment="1">
      <alignment horizontal="center"/>
    </xf>
    <xf numFmtId="0" fontId="2" fillId="0" borderId="0" xfId="0" applyFont="1" applyFill="1" applyAlignment="1">
      <alignment horizontal="center" vertical="center"/>
    </xf>
    <xf numFmtId="49" fontId="1" fillId="0" borderId="3" xfId="0" applyNumberFormat="1" applyFont="1" applyFill="1" applyBorder="1" applyAlignment="1">
      <alignment horizontal="center" vertical="top"/>
    </xf>
    <xf numFmtId="49" fontId="1" fillId="0" borderId="2" xfId="0" applyNumberFormat="1" applyFont="1" applyFill="1" applyBorder="1" applyAlignment="1">
      <alignment horizontal="center" vertical="top"/>
    </xf>
    <xf numFmtId="0" fontId="1" fillId="0" borderId="3" xfId="0" applyFont="1" applyFill="1" applyBorder="1" applyAlignment="1">
      <alignment horizontal="center" wrapText="1" shrinkToFit="1"/>
    </xf>
    <xf numFmtId="172" fontId="1" fillId="0" borderId="5" xfId="0" applyNumberFormat="1" applyFont="1" applyFill="1" applyBorder="1" applyAlignment="1">
      <alignment horizontal="center"/>
    </xf>
    <xf numFmtId="172" fontId="1" fillId="0" borderId="7" xfId="0" applyNumberFormat="1" applyFont="1" applyFill="1" applyBorder="1" applyAlignment="1">
      <alignment horizontal="center"/>
    </xf>
    <xf numFmtId="0" fontId="3" fillId="0" borderId="16" xfId="0" applyFont="1" applyFill="1" applyBorder="1" applyAlignment="1">
      <alignment horizontal="center" wrapText="1" shrinkToFit="1"/>
    </xf>
    <xf numFmtId="0" fontId="3" fillId="0" borderId="8" xfId="0" applyFont="1" applyFill="1" applyBorder="1" applyAlignment="1">
      <alignment horizontal="center" wrapText="1" shrinkToFit="1"/>
    </xf>
    <xf numFmtId="0" fontId="3" fillId="0" borderId="6" xfId="0" applyFont="1" applyFill="1" applyBorder="1" applyAlignment="1">
      <alignment horizontal="center" wrapText="1" shrinkToFit="1"/>
    </xf>
    <xf numFmtId="172" fontId="1" fillId="0" borderId="5" xfId="0" applyNumberFormat="1" applyFont="1" applyFill="1" applyBorder="1" applyAlignment="1">
      <alignment horizontal="right"/>
    </xf>
    <xf numFmtId="0" fontId="2" fillId="0" borderId="0" xfId="0" applyFont="1" applyFill="1" applyAlignment="1">
      <alignment horizontal="center" vertical="top"/>
    </xf>
    <xf numFmtId="49" fontId="1" fillId="0" borderId="3" xfId="0" applyNumberFormat="1" applyFont="1" applyFill="1" applyBorder="1" applyAlignment="1">
      <alignment horizontal="center" vertical="top" wrapText="1"/>
    </xf>
    <xf numFmtId="49" fontId="1" fillId="0" borderId="21"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1" fillId="0" borderId="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38"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2"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0" xfId="0" applyFont="1" applyFill="1" applyBorder="1" applyAlignment="1">
      <alignment/>
    </xf>
    <xf numFmtId="0" fontId="1" fillId="0" borderId="0" xfId="0" applyFont="1" applyFill="1" applyAlignment="1">
      <alignment/>
    </xf>
    <xf numFmtId="172" fontId="1" fillId="0" borderId="7" xfId="0" applyNumberFormat="1" applyFont="1" applyFill="1" applyBorder="1" applyAlignment="1">
      <alignment/>
    </xf>
    <xf numFmtId="0" fontId="7" fillId="0" borderId="16"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172" fontId="1" fillId="0" borderId="14" xfId="0" applyNumberFormat="1" applyFont="1" applyFill="1" applyBorder="1" applyAlignment="1">
      <alignment horizontal="right"/>
    </xf>
    <xf numFmtId="172" fontId="1" fillId="0" borderId="13" xfId="0" applyNumberFormat="1" applyFont="1" applyFill="1" applyBorder="1" applyAlignment="1">
      <alignment horizontal="right"/>
    </xf>
    <xf numFmtId="0" fontId="1" fillId="0" borderId="1" xfId="0" applyFont="1" applyFill="1" applyBorder="1" applyAlignment="1">
      <alignment horizontal="right"/>
    </xf>
    <xf numFmtId="0" fontId="5" fillId="0" borderId="3"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1" xfId="0" applyFont="1" applyFill="1" applyBorder="1" applyAlignment="1">
      <alignment horizontal="center" vertical="center" wrapText="1"/>
    </xf>
    <xf numFmtId="0" fontId="1" fillId="0" borderId="0" xfId="0" applyFont="1" applyFill="1" applyAlignment="1">
      <alignment horizontal="center"/>
    </xf>
    <xf numFmtId="0" fontId="1" fillId="0" borderId="0" xfId="0" applyFont="1" applyFill="1" applyBorder="1" applyAlignment="1">
      <alignment horizontal="left"/>
    </xf>
    <xf numFmtId="172" fontId="2" fillId="0" borderId="3" xfId="0" applyNumberFormat="1" applyFont="1" applyFill="1" applyBorder="1" applyAlignment="1">
      <alignment horizontal="center" vertical="center"/>
    </xf>
    <xf numFmtId="172" fontId="2" fillId="0" borderId="21" xfId="0" applyNumberFormat="1" applyFont="1" applyFill="1" applyBorder="1" applyAlignment="1">
      <alignment horizontal="center" vertical="center"/>
    </xf>
    <xf numFmtId="172" fontId="2" fillId="0" borderId="2" xfId="0" applyNumberFormat="1" applyFont="1" applyFill="1" applyBorder="1" applyAlignment="1">
      <alignment horizontal="center" vertical="center"/>
    </xf>
    <xf numFmtId="0" fontId="15" fillId="0" borderId="0" xfId="0" applyFont="1" applyFill="1" applyAlignment="1">
      <alignment horizontal="left"/>
    </xf>
    <xf numFmtId="0" fontId="3" fillId="0" borderId="21" xfId="0" applyFont="1" applyFill="1" applyBorder="1" applyAlignment="1">
      <alignment horizontal="center" vertical="center" wrapText="1"/>
    </xf>
    <xf numFmtId="9" fontId="3" fillId="0" borderId="3" xfId="0" applyNumberFormat="1" applyFont="1" applyFill="1" applyBorder="1" applyAlignment="1">
      <alignment horizontal="center" vertical="center" wrapText="1"/>
    </xf>
    <xf numFmtId="9" fontId="3" fillId="0" borderId="21"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3" xfId="0" applyFont="1" applyFill="1" applyBorder="1" applyAlignment="1">
      <alignment horizontal="center"/>
    </xf>
    <xf numFmtId="0" fontId="3" fillId="0" borderId="44" xfId="0" applyFont="1" applyFill="1" applyBorder="1" applyAlignment="1">
      <alignment horizontal="center"/>
    </xf>
    <xf numFmtId="9" fontId="3" fillId="0" borderId="43" xfId="0" applyNumberFormat="1" applyFont="1" applyFill="1" applyBorder="1" applyAlignment="1">
      <alignment horizontal="center" vertical="center" wrapText="1"/>
    </xf>
    <xf numFmtId="9" fontId="3" fillId="0" borderId="44" xfId="0" applyNumberFormat="1" applyFont="1" applyFill="1" applyBorder="1" applyAlignment="1">
      <alignment horizontal="center" vertical="center" wrapText="1"/>
    </xf>
    <xf numFmtId="0" fontId="2" fillId="0" borderId="0" xfId="0" applyFont="1" applyFill="1" applyAlignment="1">
      <alignment horizontal="center" wrapText="1"/>
    </xf>
    <xf numFmtId="0" fontId="16" fillId="0" borderId="0" xfId="0" applyFont="1" applyAlignment="1">
      <alignment horizontal="center" vertical="center" wrapText="1"/>
    </xf>
    <xf numFmtId="9" fontId="3" fillId="0" borderId="0" xfId="0" applyNumberFormat="1" applyFont="1" applyFill="1" applyBorder="1" applyAlignment="1">
      <alignment horizontal="center" vertical="center" wrapText="1"/>
    </xf>
    <xf numFmtId="0" fontId="1" fillId="0" borderId="37" xfId="0" applyFont="1" applyBorder="1" applyAlignment="1">
      <alignment vertical="center"/>
    </xf>
    <xf numFmtId="0" fontId="1" fillId="0" borderId="34" xfId="0" applyFont="1" applyBorder="1" applyAlignment="1">
      <alignment vertical="center"/>
    </xf>
    <xf numFmtId="0" fontId="1" fillId="0" borderId="0" xfId="0" applyFont="1" applyFill="1" applyAlignment="1">
      <alignment/>
    </xf>
    <xf numFmtId="0" fontId="1" fillId="0" borderId="0" xfId="0" applyFont="1" applyAlignment="1">
      <alignment horizontal="center"/>
    </xf>
    <xf numFmtId="0" fontId="1" fillId="0" borderId="0" xfId="0" applyFont="1" applyAlignment="1">
      <alignment/>
    </xf>
    <xf numFmtId="0" fontId="1" fillId="0"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2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46" xfId="0" applyFont="1" applyFill="1" applyBorder="1" applyAlignment="1">
      <alignment horizontal="center" wrapText="1"/>
    </xf>
    <xf numFmtId="0" fontId="1" fillId="0" borderId="15" xfId="0" applyFont="1" applyFill="1" applyBorder="1" applyAlignment="1">
      <alignment horizontal="center" wrapText="1"/>
    </xf>
    <xf numFmtId="0" fontId="18" fillId="2" borderId="5" xfId="0" applyFont="1" applyFill="1" applyBorder="1" applyAlignment="1">
      <alignment horizontal="center" wrapText="1"/>
    </xf>
    <xf numFmtId="49" fontId="3" fillId="2" borderId="5" xfId="0" applyNumberFormat="1" applyFont="1" applyFill="1" applyBorder="1" applyAlignment="1">
      <alignment horizontal="center" vertical="center" wrapText="1"/>
    </xf>
    <xf numFmtId="0" fontId="1" fillId="0" borderId="5" xfId="0" applyFont="1" applyBorder="1" applyAlignment="1">
      <alignment horizontal="center" vertical="center"/>
    </xf>
    <xf numFmtId="0" fontId="1" fillId="2" borderId="5"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5" fillId="0" borderId="5" xfId="0" applyFont="1" applyFill="1" applyBorder="1" applyAlignment="1">
      <alignment horizontal="left" wrapText="1"/>
    </xf>
    <xf numFmtId="0" fontId="15" fillId="0" borderId="13"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wrapText="1" shrinkToFit="1"/>
    </xf>
    <xf numFmtId="49" fontId="3" fillId="0" borderId="5" xfId="0" applyNumberFormat="1" applyFont="1" applyFill="1" applyBorder="1" applyAlignment="1">
      <alignment horizontal="center" vertical="center" wrapText="1"/>
    </xf>
    <xf numFmtId="0" fontId="19" fillId="0" borderId="5" xfId="0" applyFont="1" applyFill="1" applyBorder="1" applyAlignment="1">
      <alignment horizontal="center" vertical="center" wrapText="1"/>
    </xf>
    <xf numFmtId="0" fontId="1" fillId="2" borderId="0" xfId="0" applyFont="1" applyFill="1" applyAlignment="1">
      <alignment/>
    </xf>
    <xf numFmtId="0" fontId="3" fillId="0" borderId="0" xfId="0" applyFont="1" applyFill="1" applyBorder="1" applyAlignment="1">
      <alignment horizontal="center" wrapText="1"/>
    </xf>
    <xf numFmtId="0" fontId="19" fillId="2" borderId="23"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 fillId="0" borderId="23" xfId="0" applyFont="1" applyFill="1" applyBorder="1" applyAlignment="1">
      <alignment horizontal="center" vertical="center" wrapText="1"/>
    </xf>
    <xf numFmtId="186" fontId="1" fillId="2" borderId="5" xfId="0" applyNumberFormat="1"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15" xfId="0" applyFont="1" applyFill="1" applyBorder="1" applyAlignment="1">
      <alignment horizontal="center" vertical="center" wrapText="1"/>
    </xf>
    <xf numFmtId="49" fontId="3" fillId="2" borderId="47"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9525</xdr:rowOff>
    </xdr:from>
    <xdr:to>
      <xdr:col>3</xdr:col>
      <xdr:colOff>0</xdr:colOff>
      <xdr:row>12</xdr:row>
      <xdr:rowOff>0</xdr:rowOff>
    </xdr:to>
    <xdr:sp>
      <xdr:nvSpPr>
        <xdr:cNvPr id="1" name="Line 1"/>
        <xdr:cNvSpPr>
          <a:spLocks/>
        </xdr:cNvSpPr>
      </xdr:nvSpPr>
      <xdr:spPr>
        <a:xfrm>
          <a:off x="247650" y="2295525"/>
          <a:ext cx="2257425"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hen.15.03\&#1054;&#1073;%20&#1091;&#1090;&#1086;&#1095;&#1085;\&#1055;&#1088;&#1080;&#1083;&#1086;&#1078;&#1077;&#1085;&#1080;&#1103;(15.0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turlo\&#1056;&#1072;&#1073;&#1086;&#1095;&#1080;&#1081;%20&#1089;&#1090;&#1086;&#1083;\&#1055;&#1088;&#1080;&#1083;&#1086;&#1078;&#1077;&#1085;&#1080;&#1103;(15.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
      <sheetName val="№4"/>
      <sheetName val="№5"/>
      <sheetName val="№6"/>
      <sheetName val="№7"/>
    </sheetNames>
    <sheetDataSet>
      <sheetData sheetId="5">
        <row r="12">
          <cell r="D12">
            <v>60655.10000000009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
      <sheetName val="№3 "/>
    </sheetNames>
    <sheetDataSet>
      <sheetData sheetId="0">
        <row r="99">
          <cell r="C99">
            <v>1357936.1</v>
          </cell>
          <cell r="D99">
            <v>236991.49999999997</v>
          </cell>
          <cell r="E99">
            <v>39899.6</v>
          </cell>
          <cell r="F99">
            <v>1053622.4</v>
          </cell>
          <cell r="G99">
            <v>27422.600000000002</v>
          </cell>
          <cell r="H99">
            <v>159233.5</v>
          </cell>
          <cell r="I99">
            <v>55703.9</v>
          </cell>
          <cell r="J99">
            <v>250</v>
          </cell>
          <cell r="K99">
            <v>1517169.6</v>
          </cell>
        </row>
      </sheetData>
      <sheetData sheetId="1">
        <row r="158">
          <cell r="C158">
            <v>1357936.1</v>
          </cell>
          <cell r="D158">
            <v>236991.50000000003</v>
          </cell>
          <cell r="E158">
            <v>39899.6</v>
          </cell>
          <cell r="F158">
            <v>1053622.4</v>
          </cell>
          <cell r="G158">
            <v>27422.600000000002</v>
          </cell>
          <cell r="H158">
            <v>159233.5</v>
          </cell>
          <cell r="I158">
            <v>55703.9</v>
          </cell>
          <cell r="J158">
            <v>250</v>
          </cell>
          <cell r="K158">
            <v>1517169.6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89"/>
  <sheetViews>
    <sheetView view="pageBreakPreview" zoomScale="75" zoomScaleNormal="75" zoomScaleSheetLayoutView="75" workbookViewId="0" topLeftCell="A63">
      <selection activeCell="H60" sqref="H60"/>
    </sheetView>
  </sheetViews>
  <sheetFormatPr defaultColWidth="9.00390625" defaultRowHeight="12.75"/>
  <cols>
    <col min="1" max="1" width="10.75390625" style="102" customWidth="1"/>
    <col min="2" max="2" width="57.75390625" style="103" customWidth="1"/>
    <col min="3" max="3" width="10.375" style="47" customWidth="1"/>
    <col min="4" max="4" width="9.375" style="47" customWidth="1"/>
    <col min="5" max="5" width="9.125" style="47" customWidth="1"/>
    <col min="6" max="6" width="11.375" style="47" customWidth="1"/>
    <col min="7" max="10" width="9.375" style="47" bestFit="1" customWidth="1"/>
    <col min="11" max="16384" width="9.125" style="47" customWidth="1"/>
  </cols>
  <sheetData>
    <row r="1" spans="2:6" ht="12.75">
      <c r="B1" s="47"/>
      <c r="D1" s="320" t="s">
        <v>339</v>
      </c>
      <c r="E1" s="320"/>
      <c r="F1" s="320"/>
    </row>
    <row r="2" spans="4:6" ht="12.75">
      <c r="D2" s="320" t="s">
        <v>194</v>
      </c>
      <c r="E2" s="320"/>
      <c r="F2" s="320"/>
    </row>
    <row r="3" spans="4:6" ht="12.75">
      <c r="D3" s="320" t="s">
        <v>114</v>
      </c>
      <c r="E3" s="320"/>
      <c r="F3" s="320"/>
    </row>
    <row r="4" spans="5:6" ht="14.25" customHeight="1">
      <c r="E4" s="320"/>
      <c r="F4" s="320"/>
    </row>
    <row r="5" ht="3.75" customHeight="1" hidden="1"/>
    <row r="6" spans="1:6" ht="15" customHeight="1">
      <c r="A6" s="324" t="s">
        <v>36</v>
      </c>
      <c r="B6" s="324"/>
      <c r="C6" s="324"/>
      <c r="D6" s="324"/>
      <c r="E6" s="324"/>
      <c r="F6" s="324"/>
    </row>
    <row r="7" ht="12.75" customHeight="1">
      <c r="F7" s="3" t="s">
        <v>380</v>
      </c>
    </row>
    <row r="8" ht="12.75" thickBot="1"/>
    <row r="9" ht="12" customHeight="1" hidden="1"/>
    <row r="10" spans="1:6" ht="13.5" thickBot="1">
      <c r="A10" s="325" t="s">
        <v>340</v>
      </c>
      <c r="B10" s="327" t="s">
        <v>341</v>
      </c>
      <c r="C10" s="314" t="s">
        <v>342</v>
      </c>
      <c r="D10" s="316" t="s">
        <v>37</v>
      </c>
      <c r="E10" s="317"/>
      <c r="F10" s="318" t="s">
        <v>201</v>
      </c>
    </row>
    <row r="11" spans="1:6" ht="39" thickBot="1">
      <c r="A11" s="326"/>
      <c r="B11" s="313"/>
      <c r="C11" s="315"/>
      <c r="D11" s="104" t="s">
        <v>201</v>
      </c>
      <c r="E11" s="105" t="s">
        <v>343</v>
      </c>
      <c r="F11" s="319"/>
    </row>
    <row r="12" spans="1:6" ht="13.5" thickBot="1">
      <c r="A12" s="106">
        <v>1</v>
      </c>
      <c r="B12" s="107">
        <v>2</v>
      </c>
      <c r="C12" s="108">
        <v>3</v>
      </c>
      <c r="D12" s="108">
        <v>4</v>
      </c>
      <c r="E12" s="108">
        <v>5</v>
      </c>
      <c r="F12" s="108" t="s">
        <v>344</v>
      </c>
    </row>
    <row r="13" spans="1:7" s="110" customFormat="1" ht="13.5" thickBot="1">
      <c r="A13" s="178">
        <v>10000000</v>
      </c>
      <c r="B13" s="179" t="s">
        <v>345</v>
      </c>
      <c r="C13" s="180">
        <f>C14+C20+C22</f>
        <v>648993.7</v>
      </c>
      <c r="D13" s="180">
        <f>D18+D22</f>
        <v>33500</v>
      </c>
      <c r="E13" s="180" t="s">
        <v>346</v>
      </c>
      <c r="F13" s="181">
        <f>C13+D13</f>
        <v>682493.7</v>
      </c>
      <c r="G13" s="109"/>
    </row>
    <row r="14" spans="1:6" ht="25.5">
      <c r="A14" s="111">
        <v>11000000</v>
      </c>
      <c r="B14" s="112" t="s">
        <v>347</v>
      </c>
      <c r="C14" s="113">
        <f>C15+C16</f>
        <v>537577.7</v>
      </c>
      <c r="D14" s="113" t="s">
        <v>346</v>
      </c>
      <c r="E14" s="113" t="s">
        <v>346</v>
      </c>
      <c r="F14" s="114">
        <f>F15+F16</f>
        <v>537577.7</v>
      </c>
    </row>
    <row r="15" spans="1:6" ht="13.5" customHeight="1">
      <c r="A15" s="69">
        <v>11010000</v>
      </c>
      <c r="B15" s="45" t="s">
        <v>348</v>
      </c>
      <c r="C15" s="115">
        <f>492735.7+44412</f>
        <v>537147.7</v>
      </c>
      <c r="D15" s="46" t="s">
        <v>346</v>
      </c>
      <c r="E15" s="46" t="s">
        <v>346</v>
      </c>
      <c r="F15" s="116">
        <f>C15</f>
        <v>537147.7</v>
      </c>
    </row>
    <row r="16" spans="1:6" ht="12.75">
      <c r="A16" s="69">
        <v>11020000</v>
      </c>
      <c r="B16" s="45" t="s">
        <v>349</v>
      </c>
      <c r="C16" s="46">
        <f>C17</f>
        <v>430</v>
      </c>
      <c r="D16" s="46" t="s">
        <v>346</v>
      </c>
      <c r="E16" s="46" t="s">
        <v>346</v>
      </c>
      <c r="F16" s="116">
        <f>C16</f>
        <v>430</v>
      </c>
    </row>
    <row r="17" spans="1:6" ht="25.5">
      <c r="A17" s="69">
        <v>11020200</v>
      </c>
      <c r="B17" s="45" t="s">
        <v>350</v>
      </c>
      <c r="C17" s="115">
        <v>430</v>
      </c>
      <c r="D17" s="46" t="s">
        <v>346</v>
      </c>
      <c r="E17" s="46" t="s">
        <v>346</v>
      </c>
      <c r="F17" s="116">
        <f>C17</f>
        <v>430</v>
      </c>
    </row>
    <row r="18" spans="1:6" ht="12.75">
      <c r="A18" s="69">
        <v>12000000</v>
      </c>
      <c r="B18" s="45" t="s">
        <v>351</v>
      </c>
      <c r="C18" s="46" t="s">
        <v>346</v>
      </c>
      <c r="D18" s="46">
        <f>D19</f>
        <v>32200</v>
      </c>
      <c r="E18" s="46" t="s">
        <v>346</v>
      </c>
      <c r="F18" s="116">
        <f>F19</f>
        <v>32200</v>
      </c>
    </row>
    <row r="19" spans="1:6" ht="25.5">
      <c r="A19" s="69">
        <v>12020000</v>
      </c>
      <c r="B19" s="45" t="s">
        <v>352</v>
      </c>
      <c r="C19" s="46" t="s">
        <v>346</v>
      </c>
      <c r="D19" s="115">
        <f>34750-2550</f>
        <v>32200</v>
      </c>
      <c r="E19" s="46" t="s">
        <v>346</v>
      </c>
      <c r="F19" s="116">
        <f>D19</f>
        <v>32200</v>
      </c>
    </row>
    <row r="20" spans="1:6" ht="11.25" customHeight="1">
      <c r="A20" s="69">
        <v>13000000</v>
      </c>
      <c r="B20" s="45" t="s">
        <v>353</v>
      </c>
      <c r="C20" s="46">
        <f>C21</f>
        <v>81000</v>
      </c>
      <c r="D20" s="46" t="s">
        <v>346</v>
      </c>
      <c r="E20" s="46" t="s">
        <v>346</v>
      </c>
      <c r="F20" s="116">
        <f>F21</f>
        <v>81000</v>
      </c>
    </row>
    <row r="21" spans="1:6" ht="12.75">
      <c r="A21" s="69">
        <v>13050000</v>
      </c>
      <c r="B21" s="45" t="s">
        <v>354</v>
      </c>
      <c r="C21" s="115">
        <f>76000+5000</f>
        <v>81000</v>
      </c>
      <c r="D21" s="46" t="s">
        <v>346</v>
      </c>
      <c r="E21" s="46" t="s">
        <v>346</v>
      </c>
      <c r="F21" s="116">
        <f>C21</f>
        <v>81000</v>
      </c>
    </row>
    <row r="22" spans="1:6" ht="13.5" customHeight="1">
      <c r="A22" s="69">
        <v>14000000</v>
      </c>
      <c r="B22" s="45" t="s">
        <v>355</v>
      </c>
      <c r="C22" s="46">
        <f>C23+C24+C26+C25</f>
        <v>30416</v>
      </c>
      <c r="D22" s="46">
        <f>D27</f>
        <v>1300</v>
      </c>
      <c r="E22" s="46" t="s">
        <v>346</v>
      </c>
      <c r="F22" s="116">
        <f>C22+D22</f>
        <v>31716</v>
      </c>
    </row>
    <row r="23" spans="1:6" ht="12.75">
      <c r="A23" s="69">
        <v>14060200</v>
      </c>
      <c r="B23" s="45" t="s">
        <v>356</v>
      </c>
      <c r="C23" s="115">
        <f>380</f>
        <v>380</v>
      </c>
      <c r="D23" s="46" t="s">
        <v>346</v>
      </c>
      <c r="E23" s="46" t="s">
        <v>346</v>
      </c>
      <c r="F23" s="116">
        <f>C23</f>
        <v>380</v>
      </c>
    </row>
    <row r="24" spans="1:6" ht="25.5">
      <c r="A24" s="69">
        <v>14060300</v>
      </c>
      <c r="B24" s="45" t="s">
        <v>357</v>
      </c>
      <c r="C24" s="115">
        <v>23</v>
      </c>
      <c r="D24" s="46" t="s">
        <v>346</v>
      </c>
      <c r="E24" s="46" t="s">
        <v>346</v>
      </c>
      <c r="F24" s="116">
        <f>C24</f>
        <v>23</v>
      </c>
    </row>
    <row r="25" spans="1:6" ht="25.5">
      <c r="A25" s="69" t="s">
        <v>38</v>
      </c>
      <c r="B25" s="45" t="s">
        <v>39</v>
      </c>
      <c r="C25" s="115">
        <v>13</v>
      </c>
      <c r="D25" s="46" t="s">
        <v>346</v>
      </c>
      <c r="E25" s="46" t="s">
        <v>346</v>
      </c>
      <c r="F25" s="116">
        <f>C25</f>
        <v>13</v>
      </c>
    </row>
    <row r="26" spans="1:6" ht="25.5">
      <c r="A26" s="69">
        <v>14061100</v>
      </c>
      <c r="B26" s="45" t="s">
        <v>358</v>
      </c>
      <c r="C26" s="115">
        <f>29000+1000</f>
        <v>30000</v>
      </c>
      <c r="D26" s="46" t="s">
        <v>346</v>
      </c>
      <c r="E26" s="46" t="s">
        <v>346</v>
      </c>
      <c r="F26" s="116">
        <f>C26</f>
        <v>30000</v>
      </c>
    </row>
    <row r="27" spans="1:6" ht="25.5">
      <c r="A27" s="69">
        <v>14070000</v>
      </c>
      <c r="B27" s="45" t="s">
        <v>359</v>
      </c>
      <c r="C27" s="46" t="s">
        <v>346</v>
      </c>
      <c r="D27" s="46">
        <f>D28</f>
        <v>1300</v>
      </c>
      <c r="E27" s="46" t="s">
        <v>346</v>
      </c>
      <c r="F27" s="116">
        <f>F28</f>
        <v>1300</v>
      </c>
    </row>
    <row r="28" spans="1:6" ht="38.25">
      <c r="A28" s="69">
        <v>14071500</v>
      </c>
      <c r="B28" s="45" t="s">
        <v>360</v>
      </c>
      <c r="C28" s="46" t="s">
        <v>346</v>
      </c>
      <c r="D28" s="115">
        <v>1300</v>
      </c>
      <c r="E28" s="46" t="s">
        <v>346</v>
      </c>
      <c r="F28" s="116">
        <f>D28</f>
        <v>1300</v>
      </c>
    </row>
    <row r="29" spans="1:6" s="110" customFormat="1" ht="12.75">
      <c r="A29" s="68">
        <v>20000000</v>
      </c>
      <c r="B29" s="117" t="s">
        <v>361</v>
      </c>
      <c r="C29" s="118">
        <f>C30+C33+C35+C38</f>
        <v>11482.3</v>
      </c>
      <c r="D29" s="118">
        <f>D32+D38+D43</f>
        <v>24529.6</v>
      </c>
      <c r="E29" s="118" t="s">
        <v>346</v>
      </c>
      <c r="F29" s="119">
        <f>C29+D29</f>
        <v>36011.899999999994</v>
      </c>
    </row>
    <row r="30" spans="1:6" ht="13.5" customHeight="1">
      <c r="A30" s="69">
        <v>21000000</v>
      </c>
      <c r="B30" s="45" t="s">
        <v>362</v>
      </c>
      <c r="C30" s="46">
        <f>C31</f>
        <v>9100</v>
      </c>
      <c r="D30" s="46" t="str">
        <f>D31</f>
        <v>Х</v>
      </c>
      <c r="E30" s="46" t="s">
        <v>346</v>
      </c>
      <c r="F30" s="116">
        <f>C30</f>
        <v>9100</v>
      </c>
    </row>
    <row r="31" spans="1:6" ht="26.25" customHeight="1">
      <c r="A31" s="69">
        <v>21040000</v>
      </c>
      <c r="B31" s="45" t="s">
        <v>40</v>
      </c>
      <c r="C31" s="46">
        <v>9100</v>
      </c>
      <c r="D31" s="46" t="s">
        <v>346</v>
      </c>
      <c r="E31" s="46" t="s">
        <v>346</v>
      </c>
      <c r="F31" s="116">
        <f>C31</f>
        <v>9100</v>
      </c>
    </row>
    <row r="32" spans="1:6" ht="25.5">
      <c r="A32" s="69">
        <v>21110000</v>
      </c>
      <c r="B32" s="45" t="s">
        <v>363</v>
      </c>
      <c r="C32" s="46" t="s">
        <v>346</v>
      </c>
      <c r="D32" s="46">
        <v>821</v>
      </c>
      <c r="E32" s="46" t="s">
        <v>346</v>
      </c>
      <c r="F32" s="116">
        <f>D32</f>
        <v>821</v>
      </c>
    </row>
    <row r="33" spans="1:8" ht="25.5">
      <c r="A33" s="69">
        <v>22000000</v>
      </c>
      <c r="B33" s="45" t="s">
        <v>364</v>
      </c>
      <c r="C33" s="46">
        <f>C34</f>
        <v>2100</v>
      </c>
      <c r="D33" s="46" t="s">
        <v>346</v>
      </c>
      <c r="E33" s="46" t="s">
        <v>346</v>
      </c>
      <c r="F33" s="116">
        <f>C33</f>
        <v>2100</v>
      </c>
      <c r="H33" s="49"/>
    </row>
    <row r="34" spans="1:6" ht="24.75" customHeight="1">
      <c r="A34" s="69">
        <v>22080000</v>
      </c>
      <c r="B34" s="120" t="s">
        <v>41</v>
      </c>
      <c r="C34" s="115">
        <v>2100</v>
      </c>
      <c r="D34" s="46" t="s">
        <v>346</v>
      </c>
      <c r="E34" s="46" t="s">
        <v>346</v>
      </c>
      <c r="F34" s="116">
        <f>C34</f>
        <v>2100</v>
      </c>
    </row>
    <row r="35" spans="1:6" ht="12.75">
      <c r="A35" s="69">
        <v>23000000</v>
      </c>
      <c r="B35" s="45" t="s">
        <v>365</v>
      </c>
      <c r="C35" s="46">
        <f>C37</f>
        <v>30</v>
      </c>
      <c r="D35" s="46" t="s">
        <v>346</v>
      </c>
      <c r="E35" s="46" t="s">
        <v>346</v>
      </c>
      <c r="F35" s="116">
        <f>C35</f>
        <v>30</v>
      </c>
    </row>
    <row r="36" spans="1:6" ht="63.75" hidden="1">
      <c r="A36" s="69">
        <v>23020000</v>
      </c>
      <c r="B36" s="45" t="s">
        <v>377</v>
      </c>
      <c r="C36" s="121" t="s">
        <v>346</v>
      </c>
      <c r="D36" s="121" t="s">
        <v>346</v>
      </c>
      <c r="E36" s="121" t="s">
        <v>346</v>
      </c>
      <c r="F36" s="122" t="s">
        <v>346</v>
      </c>
    </row>
    <row r="37" spans="1:6" ht="12.75">
      <c r="A37" s="69">
        <v>23030000</v>
      </c>
      <c r="B37" s="45" t="s">
        <v>366</v>
      </c>
      <c r="C37" s="115">
        <f>30</f>
        <v>30</v>
      </c>
      <c r="D37" s="46" t="s">
        <v>346</v>
      </c>
      <c r="E37" s="46" t="s">
        <v>346</v>
      </c>
      <c r="F37" s="116">
        <f>C37</f>
        <v>30</v>
      </c>
    </row>
    <row r="38" spans="1:6" ht="12.75">
      <c r="A38" s="69">
        <v>24000000</v>
      </c>
      <c r="B38" s="45" t="s">
        <v>367</v>
      </c>
      <c r="C38" s="115">
        <f>C41</f>
        <v>252.3</v>
      </c>
      <c r="D38" s="46">
        <f>D42</f>
        <v>20</v>
      </c>
      <c r="E38" s="46" t="s">
        <v>346</v>
      </c>
      <c r="F38" s="116">
        <f>C38+D38</f>
        <v>272.3</v>
      </c>
    </row>
    <row r="39" spans="1:6" ht="12.75" hidden="1">
      <c r="A39" s="69"/>
      <c r="B39" s="45"/>
      <c r="C39" s="46">
        <v>0</v>
      </c>
      <c r="D39" s="46" t="s">
        <v>346</v>
      </c>
      <c r="E39" s="46" t="s">
        <v>346</v>
      </c>
      <c r="F39" s="116">
        <v>0</v>
      </c>
    </row>
    <row r="40" spans="1:6" ht="38.25" hidden="1">
      <c r="A40" s="69">
        <v>24030000</v>
      </c>
      <c r="B40" s="45" t="s">
        <v>378</v>
      </c>
      <c r="C40" s="121" t="s">
        <v>346</v>
      </c>
      <c r="D40" s="121" t="s">
        <v>346</v>
      </c>
      <c r="E40" s="121" t="s">
        <v>346</v>
      </c>
      <c r="F40" s="122" t="s">
        <v>346</v>
      </c>
    </row>
    <row r="41" spans="1:6" ht="12.75">
      <c r="A41" s="69">
        <v>24060300</v>
      </c>
      <c r="B41" s="45" t="s">
        <v>368</v>
      </c>
      <c r="C41" s="46">
        <f>252+0.3</f>
        <v>252.3</v>
      </c>
      <c r="D41" s="46" t="s">
        <v>346</v>
      </c>
      <c r="E41" s="46" t="s">
        <v>346</v>
      </c>
      <c r="F41" s="116">
        <f>C41</f>
        <v>252.3</v>
      </c>
    </row>
    <row r="42" spans="1:6" ht="14.25" customHeight="1">
      <c r="A42" s="69" t="s">
        <v>42</v>
      </c>
      <c r="B42" s="120" t="s">
        <v>43</v>
      </c>
      <c r="C42" s="46" t="s">
        <v>346</v>
      </c>
      <c r="D42" s="46">
        <v>20</v>
      </c>
      <c r="E42" s="123" t="s">
        <v>346</v>
      </c>
      <c r="F42" s="116">
        <f>D42</f>
        <v>20</v>
      </c>
    </row>
    <row r="43" spans="1:6" ht="12.75">
      <c r="A43" s="69">
        <v>25000000</v>
      </c>
      <c r="B43" s="45" t="s">
        <v>369</v>
      </c>
      <c r="C43" s="46" t="s">
        <v>346</v>
      </c>
      <c r="D43" s="115">
        <f>23628.6+60</f>
        <v>23688.6</v>
      </c>
      <c r="E43" s="46" t="s">
        <v>346</v>
      </c>
      <c r="F43" s="116">
        <f>D43</f>
        <v>23688.6</v>
      </c>
    </row>
    <row r="44" spans="1:6" s="110" customFormat="1" ht="38.25">
      <c r="A44" s="69">
        <v>31030000</v>
      </c>
      <c r="B44" s="45" t="s">
        <v>370</v>
      </c>
      <c r="C44" s="46" t="s">
        <v>346</v>
      </c>
      <c r="D44" s="115">
        <v>1000</v>
      </c>
      <c r="E44" s="115">
        <f>D44</f>
        <v>1000</v>
      </c>
      <c r="F44" s="116">
        <f>D44</f>
        <v>1000</v>
      </c>
    </row>
    <row r="45" spans="1:6" s="110" customFormat="1" ht="12.75">
      <c r="A45" s="69">
        <v>50000000</v>
      </c>
      <c r="B45" s="45" t="s">
        <v>249</v>
      </c>
      <c r="C45" s="46" t="s">
        <v>346</v>
      </c>
      <c r="D45" s="46">
        <f>D46</f>
        <v>45500</v>
      </c>
      <c r="E45" s="46" t="s">
        <v>346</v>
      </c>
      <c r="F45" s="116">
        <f>D45</f>
        <v>45500</v>
      </c>
    </row>
    <row r="46" spans="1:6" ht="12.75">
      <c r="A46" s="69">
        <v>50080000</v>
      </c>
      <c r="B46" s="45" t="s">
        <v>371</v>
      </c>
      <c r="C46" s="46" t="s">
        <v>346</v>
      </c>
      <c r="D46" s="115">
        <v>45500</v>
      </c>
      <c r="E46" s="46" t="s">
        <v>346</v>
      </c>
      <c r="F46" s="116">
        <f>D46</f>
        <v>45500</v>
      </c>
    </row>
    <row r="47" spans="1:8" s="110" customFormat="1" ht="12.75">
      <c r="A47" s="332" t="s">
        <v>372</v>
      </c>
      <c r="B47" s="322"/>
      <c r="C47" s="123">
        <f>C13+C29</f>
        <v>660476</v>
      </c>
      <c r="D47" s="123">
        <f>D13+D29+D44+D45</f>
        <v>104529.6</v>
      </c>
      <c r="E47" s="118">
        <f>E44</f>
        <v>1000</v>
      </c>
      <c r="F47" s="119">
        <f>C47+D47</f>
        <v>765005.6</v>
      </c>
      <c r="H47" s="124"/>
    </row>
    <row r="48" spans="1:6" s="110" customFormat="1" ht="12.75">
      <c r="A48" s="68"/>
      <c r="B48" s="117"/>
      <c r="C48" s="123"/>
      <c r="D48" s="123"/>
      <c r="E48" s="118"/>
      <c r="F48" s="119"/>
    </row>
    <row r="49" spans="1:6" ht="12.75">
      <c r="A49" s="68">
        <v>40000000</v>
      </c>
      <c r="B49" s="117" t="s">
        <v>373</v>
      </c>
      <c r="C49" s="118">
        <f>C50+C54+C52+C53+C51</f>
        <v>636805</v>
      </c>
      <c r="D49" s="118">
        <f>D54+D74</f>
        <v>55203.9</v>
      </c>
      <c r="E49" s="118">
        <f>E54+E74</f>
        <v>55203.9</v>
      </c>
      <c r="F49" s="119">
        <f>C49+D49</f>
        <v>692008.9</v>
      </c>
    </row>
    <row r="50" spans="1:6" ht="51" customHeight="1">
      <c r="A50" s="69">
        <v>41020600</v>
      </c>
      <c r="B50" s="45" t="s">
        <v>25</v>
      </c>
      <c r="C50" s="46">
        <f>19197.8+22591.5</f>
        <v>41789.3</v>
      </c>
      <c r="D50" s="46" t="s">
        <v>346</v>
      </c>
      <c r="E50" s="46" t="s">
        <v>346</v>
      </c>
      <c r="F50" s="116">
        <f>C50</f>
        <v>41789.3</v>
      </c>
    </row>
    <row r="51" spans="1:6" ht="63.75" customHeight="1" hidden="1">
      <c r="A51" s="69" t="s">
        <v>44</v>
      </c>
      <c r="B51" s="45" t="s">
        <v>442</v>
      </c>
      <c r="C51" s="46"/>
      <c r="D51" s="46"/>
      <c r="E51" s="46"/>
      <c r="F51" s="116">
        <f>C51</f>
        <v>0</v>
      </c>
    </row>
    <row r="52" spans="1:6" ht="63.75" hidden="1">
      <c r="A52" s="69" t="s">
        <v>45</v>
      </c>
      <c r="B52" s="45" t="s">
        <v>444</v>
      </c>
      <c r="C52" s="46"/>
      <c r="D52" s="46"/>
      <c r="E52" s="46"/>
      <c r="F52" s="116">
        <f>C52</f>
        <v>0</v>
      </c>
    </row>
    <row r="53" spans="1:6" ht="51" hidden="1">
      <c r="A53" s="69" t="s">
        <v>46</v>
      </c>
      <c r="B53" s="125" t="s">
        <v>47</v>
      </c>
      <c r="C53" s="46"/>
      <c r="D53" s="46"/>
      <c r="E53" s="46"/>
      <c r="F53" s="116">
        <f>C53</f>
        <v>0</v>
      </c>
    </row>
    <row r="54" spans="1:6" ht="12.75">
      <c r="A54" s="68">
        <v>41030000</v>
      </c>
      <c r="B54" s="117" t="s">
        <v>374</v>
      </c>
      <c r="C54" s="118">
        <f>C57+C58+C59+C61+C63+C64+C65+C66+C67+C68+C56+C55+C69+C70+C71+C72+C73</f>
        <v>595015.7</v>
      </c>
      <c r="D54" s="118">
        <f>D57+D58+D59+D61+D63+D64+D65+D66+D67+D68+D56+D55+D69+D70</f>
        <v>750</v>
      </c>
      <c r="E54" s="118">
        <f>E57+E58+E59+E61+E63+E64+E65+E66+E67+E68+E56+E55+E69+E70</f>
        <v>750</v>
      </c>
      <c r="F54" s="119">
        <f aca="true" t="shared" si="0" ref="F54:F59">C54+D54</f>
        <v>595765.7</v>
      </c>
    </row>
    <row r="55" spans="1:6" ht="25.5" hidden="1">
      <c r="A55" s="69" t="s">
        <v>48</v>
      </c>
      <c r="B55" s="45" t="s">
        <v>446</v>
      </c>
      <c r="C55" s="46"/>
      <c r="D55" s="46"/>
      <c r="E55" s="46"/>
      <c r="F55" s="116">
        <f t="shared" si="0"/>
        <v>0</v>
      </c>
    </row>
    <row r="56" spans="1:6" ht="25.5">
      <c r="A56" s="69" t="s">
        <v>49</v>
      </c>
      <c r="B56" s="45" t="s">
        <v>50</v>
      </c>
      <c r="C56" s="46">
        <f>8254.7+19167.9</f>
        <v>27422.600000000002</v>
      </c>
      <c r="D56" s="46">
        <f>E56</f>
        <v>250</v>
      </c>
      <c r="E56" s="46">
        <v>250</v>
      </c>
      <c r="F56" s="116">
        <f t="shared" si="0"/>
        <v>27672.600000000002</v>
      </c>
    </row>
    <row r="57" spans="1:6" ht="42.75" customHeight="1">
      <c r="A57" s="69" t="s">
        <v>51</v>
      </c>
      <c r="B57" s="45" t="s">
        <v>115</v>
      </c>
      <c r="C57" s="46">
        <f>135671.6+124016.2</f>
        <v>259687.8</v>
      </c>
      <c r="D57" s="46"/>
      <c r="E57" s="46"/>
      <c r="F57" s="116">
        <f>C57+D57</f>
        <v>259687.8</v>
      </c>
    </row>
    <row r="58" spans="1:6" ht="96.75" customHeight="1">
      <c r="A58" s="69">
        <v>41030700</v>
      </c>
      <c r="B58" s="185" t="s">
        <v>95</v>
      </c>
      <c r="C58" s="46">
        <v>3891.4</v>
      </c>
      <c r="D58" s="46"/>
      <c r="E58" s="46"/>
      <c r="F58" s="116">
        <f t="shared" si="0"/>
        <v>3891.4</v>
      </c>
    </row>
    <row r="59" spans="1:6" ht="111" customHeight="1">
      <c r="A59" s="171" t="s">
        <v>52</v>
      </c>
      <c r="B59" s="186" t="s">
        <v>120</v>
      </c>
      <c r="C59" s="323">
        <f>214383.2-15176.2</f>
        <v>199207</v>
      </c>
      <c r="D59" s="328"/>
      <c r="E59" s="328"/>
      <c r="F59" s="329">
        <f t="shared" si="0"/>
        <v>199207</v>
      </c>
    </row>
    <row r="60" spans="1:6" ht="193.5" customHeight="1">
      <c r="A60" s="182"/>
      <c r="B60" s="201" t="s">
        <v>104</v>
      </c>
      <c r="C60" s="323"/>
      <c r="D60" s="328"/>
      <c r="E60" s="328"/>
      <c r="F60" s="329"/>
    </row>
    <row r="61" spans="1:6" ht="133.5" customHeight="1">
      <c r="A61" s="176" t="s">
        <v>53</v>
      </c>
      <c r="B61" s="188" t="s">
        <v>190</v>
      </c>
      <c r="C61" s="177">
        <v>76175.4</v>
      </c>
      <c r="D61" s="172"/>
      <c r="E61" s="172"/>
      <c r="F61" s="116">
        <f aca="true" t="shared" si="1" ref="F61:F72">C61+D61</f>
        <v>76175.4</v>
      </c>
    </row>
    <row r="62" spans="1:6" ht="111" customHeight="1">
      <c r="A62" s="183" t="s">
        <v>54</v>
      </c>
      <c r="B62" s="186" t="s">
        <v>121</v>
      </c>
      <c r="C62" s="172"/>
      <c r="D62" s="172"/>
      <c r="E62" s="172"/>
      <c r="F62" s="175"/>
    </row>
    <row r="63" spans="1:6" ht="180.75" customHeight="1">
      <c r="A63" s="184"/>
      <c r="B63" s="202" t="s">
        <v>106</v>
      </c>
      <c r="C63" s="173">
        <v>21494.7</v>
      </c>
      <c r="D63" s="173"/>
      <c r="E63" s="173"/>
      <c r="F63" s="174">
        <f t="shared" si="1"/>
        <v>21494.7</v>
      </c>
    </row>
    <row r="64" spans="1:6" ht="51.75" customHeight="1" hidden="1">
      <c r="A64" s="69">
        <v>41031900</v>
      </c>
      <c r="B64" s="48" t="s">
        <v>55</v>
      </c>
      <c r="C64" s="46"/>
      <c r="D64" s="46"/>
      <c r="E64" s="46"/>
      <c r="F64" s="116">
        <f t="shared" si="1"/>
        <v>0</v>
      </c>
    </row>
    <row r="65" spans="1:6" ht="55.5" customHeight="1" hidden="1">
      <c r="A65" s="69">
        <v>41033900</v>
      </c>
      <c r="B65" s="126" t="s">
        <v>453</v>
      </c>
      <c r="C65" s="46"/>
      <c r="D65" s="46"/>
      <c r="E65" s="46"/>
      <c r="F65" s="116">
        <f t="shared" si="1"/>
        <v>0</v>
      </c>
    </row>
    <row r="66" spans="1:6" ht="42" customHeight="1">
      <c r="A66" s="69" t="s">
        <v>56</v>
      </c>
      <c r="B66" s="70" t="s">
        <v>57</v>
      </c>
      <c r="C66" s="46">
        <v>7136.8</v>
      </c>
      <c r="D66" s="46"/>
      <c r="E66" s="46"/>
      <c r="F66" s="116">
        <f t="shared" si="1"/>
        <v>7136.8</v>
      </c>
    </row>
    <row r="67" spans="1:6" ht="41.25" customHeight="1" hidden="1">
      <c r="A67" s="69">
        <v>41034500</v>
      </c>
      <c r="B67" s="70" t="s">
        <v>58</v>
      </c>
      <c r="C67" s="46"/>
      <c r="D67" s="46"/>
      <c r="E67" s="46"/>
      <c r="F67" s="116">
        <f t="shared" si="1"/>
        <v>0</v>
      </c>
    </row>
    <row r="68" spans="1:6" ht="42" customHeight="1" hidden="1">
      <c r="A68" s="69" t="s">
        <v>59</v>
      </c>
      <c r="B68" s="70" t="s">
        <v>455</v>
      </c>
      <c r="C68" s="46"/>
      <c r="D68" s="46"/>
      <c r="E68" s="46"/>
      <c r="F68" s="116">
        <f t="shared" si="1"/>
        <v>0</v>
      </c>
    </row>
    <row r="69" spans="1:6" ht="63.75" hidden="1">
      <c r="A69" s="69" t="s">
        <v>60</v>
      </c>
      <c r="B69" s="70" t="s">
        <v>457</v>
      </c>
      <c r="C69" s="46"/>
      <c r="D69" s="46"/>
      <c r="E69" s="46"/>
      <c r="F69" s="116">
        <f t="shared" si="1"/>
        <v>0</v>
      </c>
    </row>
    <row r="70" spans="1:6" ht="12.75">
      <c r="A70" s="69" t="s">
        <v>61</v>
      </c>
      <c r="B70" s="70" t="s">
        <v>379</v>
      </c>
      <c r="C70" s="46"/>
      <c r="D70" s="46">
        <v>500</v>
      </c>
      <c r="E70" s="46">
        <v>500</v>
      </c>
      <c r="F70" s="116">
        <f t="shared" si="1"/>
        <v>500</v>
      </c>
    </row>
    <row r="71" spans="1:6" ht="42" customHeight="1" hidden="1">
      <c r="A71" s="69" t="s">
        <v>62</v>
      </c>
      <c r="B71" s="70" t="s">
        <v>63</v>
      </c>
      <c r="C71" s="46"/>
      <c r="D71" s="46"/>
      <c r="E71" s="46"/>
      <c r="F71" s="116">
        <f t="shared" si="1"/>
        <v>0</v>
      </c>
    </row>
    <row r="72" spans="1:6" ht="42" customHeight="1" hidden="1">
      <c r="A72" s="69" t="s">
        <v>64</v>
      </c>
      <c r="B72" s="70" t="s">
        <v>65</v>
      </c>
      <c r="C72" s="46"/>
      <c r="D72" s="46"/>
      <c r="E72" s="46"/>
      <c r="F72" s="116">
        <f t="shared" si="1"/>
        <v>0</v>
      </c>
    </row>
    <row r="73" spans="1:6" ht="15.75" customHeight="1" hidden="1">
      <c r="A73" s="69"/>
      <c r="B73" s="70"/>
      <c r="C73" s="46"/>
      <c r="D73" s="46"/>
      <c r="E73" s="46"/>
      <c r="F73" s="116"/>
    </row>
    <row r="74" spans="1:6" ht="27.75" customHeight="1">
      <c r="A74" s="68">
        <v>43010000</v>
      </c>
      <c r="B74" s="127" t="s">
        <v>375</v>
      </c>
      <c r="C74" s="118" t="s">
        <v>346</v>
      </c>
      <c r="D74" s="118">
        <f>E74</f>
        <v>54453.9</v>
      </c>
      <c r="E74" s="118">
        <f>3891.4+51002.5-940+500</f>
        <v>54453.9</v>
      </c>
      <c r="F74" s="119">
        <f>D74</f>
        <v>54453.9</v>
      </c>
    </row>
    <row r="75" spans="1:6" s="110" customFormat="1" ht="13.5" thickBot="1">
      <c r="A75" s="330" t="s">
        <v>376</v>
      </c>
      <c r="B75" s="331"/>
      <c r="C75" s="128">
        <f>C47+C49</f>
        <v>1297281</v>
      </c>
      <c r="D75" s="128">
        <f>D47+D49</f>
        <v>159733.5</v>
      </c>
      <c r="E75" s="128">
        <f>E49+E47</f>
        <v>56203.9</v>
      </c>
      <c r="F75" s="129">
        <f>C75+D75</f>
        <v>1457014.5</v>
      </c>
    </row>
    <row r="76" spans="3:10" ht="12.75">
      <c r="C76" s="31"/>
      <c r="D76" s="31"/>
      <c r="E76" s="49"/>
      <c r="F76" s="31"/>
      <c r="G76" s="49"/>
      <c r="J76" s="49"/>
    </row>
    <row r="77" spans="3:6" ht="12">
      <c r="C77" s="58"/>
      <c r="D77" s="58"/>
      <c r="E77" s="58"/>
      <c r="F77" s="58"/>
    </row>
    <row r="81" spans="2:3" ht="12">
      <c r="B81" s="130"/>
      <c r="C81" s="49"/>
    </row>
    <row r="83" ht="12">
      <c r="C83" s="49"/>
    </row>
    <row r="89" ht="12">
      <c r="D89" s="49"/>
    </row>
  </sheetData>
  <mergeCells count="16">
    <mergeCell ref="D1:F1"/>
    <mergeCell ref="D2:F2"/>
    <mergeCell ref="D3:F3"/>
    <mergeCell ref="E4:F4"/>
    <mergeCell ref="A6:F6"/>
    <mergeCell ref="A10:A11"/>
    <mergeCell ref="B10:B11"/>
    <mergeCell ref="C10:C11"/>
    <mergeCell ref="D10:E10"/>
    <mergeCell ref="F10:F11"/>
    <mergeCell ref="E59:E60"/>
    <mergeCell ref="F59:F60"/>
    <mergeCell ref="A75:B75"/>
    <mergeCell ref="A47:B47"/>
    <mergeCell ref="C59:C60"/>
    <mergeCell ref="D59:D60"/>
  </mergeCells>
  <printOptions/>
  <pageMargins left="0.56" right="0.12" top="0.14" bottom="0.25" header="0.09" footer="0.46"/>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BG488"/>
  <sheetViews>
    <sheetView tabSelected="1" view="pageBreakPreview" zoomScaleNormal="75" zoomScaleSheetLayoutView="100" workbookViewId="0" topLeftCell="A67">
      <selection activeCell="E79" sqref="E79"/>
    </sheetView>
  </sheetViews>
  <sheetFormatPr defaultColWidth="9.00390625" defaultRowHeight="12.75"/>
  <cols>
    <col min="1" max="1" width="8.125" style="59" customWidth="1"/>
    <col min="2" max="2" width="51.375" style="2" customWidth="1"/>
    <col min="3" max="3" width="11.375" style="3" customWidth="1"/>
    <col min="4" max="4" width="10.625" style="3" customWidth="1"/>
    <col min="5" max="5" width="9.375" style="3" customWidth="1"/>
    <col min="6" max="6" width="11.125" style="3" customWidth="1"/>
    <col min="7" max="7" width="8.375" style="3" customWidth="1"/>
    <col min="8" max="8" width="10.625" style="3" customWidth="1"/>
    <col min="9" max="9" width="10.00390625" style="3" bestFit="1" customWidth="1"/>
    <col min="10" max="10" width="9.875" style="3" customWidth="1"/>
    <col min="11" max="11" width="11.375" style="3" bestFit="1" customWidth="1"/>
    <col min="12" max="12" width="10.625" style="3" customWidth="1"/>
    <col min="13" max="16384" width="8.875" style="3" customWidth="1"/>
  </cols>
  <sheetData>
    <row r="1" spans="7:11" ht="12" customHeight="1">
      <c r="G1" s="353" t="s">
        <v>193</v>
      </c>
      <c r="H1" s="353"/>
      <c r="I1" s="353"/>
      <c r="J1" s="353"/>
      <c r="K1" s="353"/>
    </row>
    <row r="2" spans="7:11" ht="16.5" customHeight="1">
      <c r="G2" s="354" t="s">
        <v>194</v>
      </c>
      <c r="H2" s="354"/>
      <c r="I2" s="354"/>
      <c r="J2" s="354"/>
      <c r="K2" s="354"/>
    </row>
    <row r="3" spans="7:11" ht="12.75">
      <c r="G3" s="320" t="s">
        <v>114</v>
      </c>
      <c r="H3" s="320"/>
      <c r="I3" s="320"/>
      <c r="J3" s="320"/>
      <c r="K3" s="320"/>
    </row>
    <row r="5" spans="2:8" ht="13.5" customHeight="1">
      <c r="B5" s="1"/>
      <c r="C5" s="6"/>
      <c r="D5" s="6"/>
      <c r="E5" s="6"/>
      <c r="F5" s="6"/>
      <c r="G5" s="6"/>
      <c r="H5" s="6"/>
    </row>
    <row r="6" spans="1:11" ht="15.75">
      <c r="A6" s="334" t="s">
        <v>97</v>
      </c>
      <c r="B6" s="334"/>
      <c r="C6" s="334"/>
      <c r="D6" s="334"/>
      <c r="E6" s="334"/>
      <c r="F6" s="334"/>
      <c r="G6" s="334"/>
      <c r="H6" s="334"/>
      <c r="I6" s="334"/>
      <c r="J6" s="334"/>
      <c r="K6" s="334"/>
    </row>
    <row r="7" spans="1:12" ht="15" customHeight="1">
      <c r="A7" s="334" t="s">
        <v>195</v>
      </c>
      <c r="B7" s="334"/>
      <c r="C7" s="334"/>
      <c r="D7" s="334"/>
      <c r="E7" s="334"/>
      <c r="F7" s="334"/>
      <c r="G7" s="334"/>
      <c r="H7" s="334"/>
      <c r="I7" s="334"/>
      <c r="J7" s="334"/>
      <c r="K7" s="334"/>
      <c r="L7" s="7"/>
    </row>
    <row r="8" spans="6:12" ht="13.5" thickBot="1">
      <c r="F8" s="8"/>
      <c r="G8" s="8"/>
      <c r="I8" s="9"/>
      <c r="J8" s="10"/>
      <c r="K8" s="3" t="s">
        <v>380</v>
      </c>
      <c r="L8" s="7"/>
    </row>
    <row r="9" spans="1:12" ht="25.5" customHeight="1" thickBot="1">
      <c r="A9" s="335" t="s">
        <v>196</v>
      </c>
      <c r="B9" s="338" t="s">
        <v>197</v>
      </c>
      <c r="C9" s="340" t="s">
        <v>198</v>
      </c>
      <c r="D9" s="341"/>
      <c r="E9" s="341"/>
      <c r="F9" s="341"/>
      <c r="G9" s="342"/>
      <c r="H9" s="343" t="s">
        <v>199</v>
      </c>
      <c r="I9" s="344"/>
      <c r="J9" s="345"/>
      <c r="K9" s="338" t="s">
        <v>200</v>
      </c>
      <c r="L9" s="11"/>
    </row>
    <row r="10" spans="1:12" ht="24" customHeight="1" thickBot="1">
      <c r="A10" s="336"/>
      <c r="B10" s="339"/>
      <c r="C10" s="347" t="s">
        <v>201</v>
      </c>
      <c r="D10" s="347" t="s">
        <v>202</v>
      </c>
      <c r="E10" s="349"/>
      <c r="F10" s="349"/>
      <c r="G10" s="350"/>
      <c r="H10" s="348" t="s">
        <v>201</v>
      </c>
      <c r="I10" s="12" t="s">
        <v>203</v>
      </c>
      <c r="J10" s="351" t="s">
        <v>204</v>
      </c>
      <c r="K10" s="339"/>
      <c r="L10" s="11"/>
    </row>
    <row r="11" spans="1:12" ht="84.75" thickBot="1">
      <c r="A11" s="337"/>
      <c r="B11" s="339"/>
      <c r="C11" s="348"/>
      <c r="D11" s="13" t="s">
        <v>205</v>
      </c>
      <c r="E11" s="14" t="s">
        <v>206</v>
      </c>
      <c r="F11" s="14" t="s">
        <v>207</v>
      </c>
      <c r="G11" s="14" t="s">
        <v>208</v>
      </c>
      <c r="H11" s="348"/>
      <c r="I11" s="14" t="s">
        <v>209</v>
      </c>
      <c r="J11" s="352"/>
      <c r="K11" s="346"/>
      <c r="L11" s="11"/>
    </row>
    <row r="12" spans="1:12" ht="13.5" thickBot="1">
      <c r="A12" s="60">
        <v>1</v>
      </c>
      <c r="B12" s="15">
        <v>2</v>
      </c>
      <c r="C12" s="16">
        <v>3</v>
      </c>
      <c r="D12" s="16">
        <v>4</v>
      </c>
      <c r="E12" s="16">
        <v>5</v>
      </c>
      <c r="F12" s="16">
        <v>6</v>
      </c>
      <c r="G12" s="16">
        <v>7</v>
      </c>
      <c r="H12" s="16">
        <v>8</v>
      </c>
      <c r="I12" s="16">
        <v>9</v>
      </c>
      <c r="J12" s="16">
        <v>10</v>
      </c>
      <c r="K12" s="16">
        <v>11</v>
      </c>
      <c r="L12" s="7"/>
    </row>
    <row r="13" spans="1:12" s="18" customFormat="1" ht="15.75" customHeight="1">
      <c r="A13" s="199" t="s">
        <v>210</v>
      </c>
      <c r="B13" s="200" t="s">
        <v>211</v>
      </c>
      <c r="C13" s="84">
        <f aca="true" t="shared" si="0" ref="C13:J13">C14</f>
        <v>8033.5</v>
      </c>
      <c r="D13" s="84">
        <f t="shared" si="0"/>
        <v>1016.4000000000001</v>
      </c>
      <c r="E13" s="84">
        <f t="shared" si="0"/>
        <v>1080</v>
      </c>
      <c r="F13" s="84">
        <f t="shared" si="0"/>
        <v>5937.099999999999</v>
      </c>
      <c r="G13" s="306">
        <f t="shared" si="0"/>
        <v>0</v>
      </c>
      <c r="H13" s="84">
        <f t="shared" si="0"/>
        <v>60</v>
      </c>
      <c r="I13" s="306">
        <f t="shared" si="0"/>
        <v>0</v>
      </c>
      <c r="J13" s="306">
        <f t="shared" si="0"/>
        <v>0</v>
      </c>
      <c r="K13" s="85">
        <f aca="true" t="shared" si="1" ref="K13:K51">C13+H13</f>
        <v>8093.5</v>
      </c>
      <c r="L13" s="17"/>
    </row>
    <row r="14" spans="1:13" ht="12.75">
      <c r="A14" s="197" t="s">
        <v>212</v>
      </c>
      <c r="B14" s="198" t="s">
        <v>213</v>
      </c>
      <c r="C14" s="170">
        <f>D14+E14+F14+G14</f>
        <v>8033.5</v>
      </c>
      <c r="D14" s="170">
        <f>708.7+112.6+195.1</f>
        <v>1016.4000000000001</v>
      </c>
      <c r="E14" s="170">
        <v>1080</v>
      </c>
      <c r="F14" s="170">
        <f>5997.3-112.6+72.2-19.8</f>
        <v>5937.099999999999</v>
      </c>
      <c r="G14" s="307"/>
      <c r="H14" s="170">
        <v>60</v>
      </c>
      <c r="I14" s="307"/>
      <c r="J14" s="307"/>
      <c r="K14" s="189">
        <f t="shared" si="1"/>
        <v>8093.5</v>
      </c>
      <c r="L14" s="7"/>
      <c r="M14" s="20"/>
    </row>
    <row r="15" spans="1:13" ht="25.5">
      <c r="A15" s="61" t="s">
        <v>214</v>
      </c>
      <c r="B15" s="25" t="s">
        <v>215</v>
      </c>
      <c r="C15" s="44">
        <f aca="true" t="shared" si="2" ref="C15:I15">C16</f>
        <v>5500</v>
      </c>
      <c r="D15" s="294">
        <f t="shared" si="2"/>
        <v>0</v>
      </c>
      <c r="E15" s="294">
        <f t="shared" si="2"/>
        <v>0</v>
      </c>
      <c r="F15" s="44">
        <f t="shared" si="2"/>
        <v>5500</v>
      </c>
      <c r="G15" s="294">
        <f t="shared" si="2"/>
        <v>0</v>
      </c>
      <c r="H15" s="294">
        <f t="shared" si="2"/>
        <v>0</v>
      </c>
      <c r="I15" s="294">
        <f t="shared" si="2"/>
        <v>0</v>
      </c>
      <c r="J15" s="294"/>
      <c r="K15" s="62">
        <f t="shared" si="1"/>
        <v>5500</v>
      </c>
      <c r="L15" s="7"/>
      <c r="M15" s="20"/>
    </row>
    <row r="16" spans="1:13" ht="25.5" customHeight="1">
      <c r="A16" s="63" t="s">
        <v>216</v>
      </c>
      <c r="B16" s="50" t="s">
        <v>217</v>
      </c>
      <c r="C16" s="29">
        <f>D16+E16+F16+G16</f>
        <v>5500</v>
      </c>
      <c r="D16" s="29"/>
      <c r="E16" s="29"/>
      <c r="F16" s="29">
        <v>5500</v>
      </c>
      <c r="G16" s="29"/>
      <c r="H16" s="29"/>
      <c r="I16" s="29"/>
      <c r="J16" s="29"/>
      <c r="K16" s="64">
        <f t="shared" si="1"/>
        <v>5500</v>
      </c>
      <c r="L16" s="7"/>
      <c r="M16" s="20"/>
    </row>
    <row r="17" spans="1:12" s="20" customFormat="1" ht="18.75" customHeight="1">
      <c r="A17" s="61" t="s">
        <v>218</v>
      </c>
      <c r="B17" s="65" t="s">
        <v>219</v>
      </c>
      <c r="C17" s="66">
        <f>D17+E17+F17+G17</f>
        <v>170992.10000000003</v>
      </c>
      <c r="D17" s="66">
        <f>54204.3+11498</f>
        <v>65702.3</v>
      </c>
      <c r="E17" s="66">
        <f>10043.2+321.6</f>
        <v>10364.800000000001</v>
      </c>
      <c r="F17" s="66">
        <f>55701.4+24178.4+11341.1-500+0.1+19.8</f>
        <v>90740.80000000002</v>
      </c>
      <c r="G17" s="66">
        <f>4184.2</f>
        <v>4184.2</v>
      </c>
      <c r="H17" s="66">
        <v>4659.7</v>
      </c>
      <c r="I17" s="66"/>
      <c r="J17" s="66"/>
      <c r="K17" s="67">
        <f t="shared" si="1"/>
        <v>175651.80000000005</v>
      </c>
      <c r="L17" s="22"/>
    </row>
    <row r="18" spans="1:12" s="20" customFormat="1" ht="16.5" customHeight="1">
      <c r="A18" s="61" t="s">
        <v>220</v>
      </c>
      <c r="B18" s="65" t="s">
        <v>221</v>
      </c>
      <c r="C18" s="66">
        <f>D18+E18+F18+G18</f>
        <v>315656.7</v>
      </c>
      <c r="D18" s="66">
        <f>119833.6+19742.8</f>
        <v>139576.4</v>
      </c>
      <c r="E18" s="66">
        <f>21138+24.6</f>
        <v>21162.6</v>
      </c>
      <c r="F18" s="66">
        <f>124236.2+11840-24.6+10525.6</f>
        <v>146577.2</v>
      </c>
      <c r="G18" s="66">
        <f>8254.7+85.8</f>
        <v>8340.5</v>
      </c>
      <c r="H18" s="66">
        <v>9784.4</v>
      </c>
      <c r="I18" s="308">
        <f>10000-10000</f>
        <v>0</v>
      </c>
      <c r="J18" s="308"/>
      <c r="K18" s="67">
        <f t="shared" si="1"/>
        <v>325441.10000000003</v>
      </c>
      <c r="L18" s="22"/>
    </row>
    <row r="19" spans="1:12" s="20" customFormat="1" ht="17.25" customHeight="1">
      <c r="A19" s="61" t="s">
        <v>222</v>
      </c>
      <c r="B19" s="65" t="s">
        <v>223</v>
      </c>
      <c r="C19" s="66">
        <f>C20+C21+C22+C23+C26+C27+C29+C30+C31+C32+C33+C34+C35+C36+C37+C38+C39+C40+C41+C24+C25+C28</f>
        <v>80854.79999999997</v>
      </c>
      <c r="D19" s="66">
        <f aca="true" t="shared" si="3" ref="D19:J19">D20+D21+D22+D23+D26+D27+D29+D30+D31+D32+D33+D34+D35+D36+D37+D38+D39+D40+D41+D24+D25</f>
        <v>25464.199999999997</v>
      </c>
      <c r="E19" s="66">
        <f t="shared" si="3"/>
        <v>6751.9000000000015</v>
      </c>
      <c r="F19" s="66">
        <f>F20+F21+F22+F23+F26+F27+F29+F30+F31+F32+F33+F34+F35+F36+F37+F38+F39+F40+F41+F24+F25+F28</f>
        <v>48638.7</v>
      </c>
      <c r="G19" s="308">
        <f t="shared" si="3"/>
        <v>0</v>
      </c>
      <c r="H19" s="66">
        <f t="shared" si="3"/>
        <v>8664</v>
      </c>
      <c r="I19" s="308">
        <f t="shared" si="3"/>
        <v>0</v>
      </c>
      <c r="J19" s="308">
        <f t="shared" si="3"/>
        <v>0</v>
      </c>
      <c r="K19" s="67">
        <f>K20+K21+K22+K23+K26+K27+K29+K30+K31+K32+K33+K34+K35+K36+K37+K38+K39+K40+K41+K24+K25+K28</f>
        <v>89518.79999999997</v>
      </c>
      <c r="L19" s="27">
        <f>C19+H19</f>
        <v>89518.79999999997</v>
      </c>
    </row>
    <row r="20" spans="1:13" ht="12.75">
      <c r="A20" s="63" t="s">
        <v>224</v>
      </c>
      <c r="B20" s="19" t="s">
        <v>225</v>
      </c>
      <c r="C20" s="29">
        <f>D20+E20+F20</f>
        <v>2.4</v>
      </c>
      <c r="D20" s="29"/>
      <c r="E20" s="29"/>
      <c r="F20" s="29">
        <v>2.4</v>
      </c>
      <c r="G20" s="29"/>
      <c r="H20" s="29"/>
      <c r="I20" s="29"/>
      <c r="J20" s="29"/>
      <c r="K20" s="64">
        <f t="shared" si="1"/>
        <v>2.4</v>
      </c>
      <c r="L20" s="7"/>
      <c r="M20" s="20"/>
    </row>
    <row r="21" spans="1:13" ht="25.5">
      <c r="A21" s="63" t="s">
        <v>285</v>
      </c>
      <c r="B21" s="19" t="s">
        <v>382</v>
      </c>
      <c r="C21" s="29">
        <f>D21+E21+F21</f>
        <v>7136.8</v>
      </c>
      <c r="D21" s="29"/>
      <c r="E21" s="29"/>
      <c r="F21" s="29">
        <v>7136.8</v>
      </c>
      <c r="G21" s="29"/>
      <c r="H21" s="29"/>
      <c r="I21" s="29"/>
      <c r="J21" s="29"/>
      <c r="K21" s="64">
        <f t="shared" si="1"/>
        <v>7136.8</v>
      </c>
      <c r="L21" s="7"/>
      <c r="M21" s="20"/>
    </row>
    <row r="22" spans="1:13" ht="15" customHeight="1">
      <c r="A22" s="63" t="s">
        <v>226</v>
      </c>
      <c r="B22" s="19" t="s">
        <v>227</v>
      </c>
      <c r="C22" s="29">
        <f>D22+E22+F22+G22</f>
        <v>1191.5</v>
      </c>
      <c r="D22" s="29"/>
      <c r="E22" s="29"/>
      <c r="F22" s="29">
        <f>37+1154.5</f>
        <v>1191.5</v>
      </c>
      <c r="G22" s="29"/>
      <c r="H22" s="29">
        <v>205</v>
      </c>
      <c r="I22" s="29"/>
      <c r="J22" s="29"/>
      <c r="K22" s="64">
        <f t="shared" si="1"/>
        <v>1396.5</v>
      </c>
      <c r="L22" s="7"/>
      <c r="M22" s="20"/>
    </row>
    <row r="23" spans="1:13" ht="27" customHeight="1">
      <c r="A23" s="63" t="s">
        <v>228</v>
      </c>
      <c r="B23" s="19" t="s">
        <v>229</v>
      </c>
      <c r="C23" s="29">
        <f aca="true" t="shared" si="4" ref="C23:C28">D23+E23+F23</f>
        <v>1674.5</v>
      </c>
      <c r="D23" s="29"/>
      <c r="E23" s="29"/>
      <c r="F23" s="29">
        <f>1437.5+237</f>
        <v>1674.5</v>
      </c>
      <c r="G23" s="29"/>
      <c r="H23" s="29"/>
      <c r="I23" s="29"/>
      <c r="J23" s="29"/>
      <c r="K23" s="64">
        <f t="shared" si="1"/>
        <v>1674.5</v>
      </c>
      <c r="L23" s="7"/>
      <c r="M23" s="20"/>
    </row>
    <row r="24" spans="1:13" ht="26.25" customHeight="1">
      <c r="A24" s="63" t="s">
        <v>383</v>
      </c>
      <c r="B24" s="19" t="s">
        <v>384</v>
      </c>
      <c r="C24" s="29">
        <f t="shared" si="4"/>
        <v>1408.4</v>
      </c>
      <c r="D24" s="29"/>
      <c r="E24" s="29"/>
      <c r="F24" s="29">
        <v>1408.4</v>
      </c>
      <c r="G24" s="29"/>
      <c r="H24" s="29"/>
      <c r="I24" s="29"/>
      <c r="J24" s="29"/>
      <c r="K24" s="64">
        <f t="shared" si="1"/>
        <v>1408.4</v>
      </c>
      <c r="L24" s="7"/>
      <c r="M24" s="20"/>
    </row>
    <row r="25" spans="1:13" ht="14.25" customHeight="1">
      <c r="A25" s="63" t="s">
        <v>30</v>
      </c>
      <c r="B25" s="19" t="s">
        <v>31</v>
      </c>
      <c r="C25" s="29">
        <f t="shared" si="4"/>
        <v>175</v>
      </c>
      <c r="D25" s="29"/>
      <c r="E25" s="29"/>
      <c r="F25" s="29">
        <v>175</v>
      </c>
      <c r="G25" s="29"/>
      <c r="H25" s="29"/>
      <c r="I25" s="29"/>
      <c r="J25" s="29"/>
      <c r="K25" s="64">
        <f t="shared" si="1"/>
        <v>175</v>
      </c>
      <c r="L25" s="7"/>
      <c r="M25" s="20"/>
    </row>
    <row r="26" spans="1:13" ht="12.75">
      <c r="A26" s="63" t="s">
        <v>385</v>
      </c>
      <c r="B26" s="19" t="s">
        <v>386</v>
      </c>
      <c r="C26" s="29">
        <f t="shared" si="4"/>
        <v>9671.099999999999</v>
      </c>
      <c r="D26" s="29">
        <f>3419.4+49.4+570.9</f>
        <v>4039.7000000000003</v>
      </c>
      <c r="E26" s="29">
        <v>841.3</v>
      </c>
      <c r="F26" s="29">
        <f>4060.5+518.4+211.2</f>
        <v>4790.099999999999</v>
      </c>
      <c r="G26" s="29"/>
      <c r="H26" s="29">
        <v>596</v>
      </c>
      <c r="I26" s="29"/>
      <c r="J26" s="29"/>
      <c r="K26" s="64">
        <f t="shared" si="1"/>
        <v>10267.099999999999</v>
      </c>
      <c r="L26" s="7"/>
      <c r="M26" s="20"/>
    </row>
    <row r="27" spans="1:13" ht="12.75">
      <c r="A27" s="63" t="s">
        <v>234</v>
      </c>
      <c r="B27" s="19" t="s">
        <v>235</v>
      </c>
      <c r="C27" s="29">
        <f t="shared" si="4"/>
        <v>6920</v>
      </c>
      <c r="D27" s="29">
        <f>2418.5+348.4</f>
        <v>2766.9</v>
      </c>
      <c r="E27" s="29">
        <v>553.8</v>
      </c>
      <c r="F27" s="29">
        <f>3470.4+128.9</f>
        <v>3599.3</v>
      </c>
      <c r="G27" s="29"/>
      <c r="H27" s="29"/>
      <c r="I27" s="29"/>
      <c r="J27" s="29"/>
      <c r="K27" s="64">
        <f t="shared" si="1"/>
        <v>6920</v>
      </c>
      <c r="L27" s="7"/>
      <c r="M27" s="20"/>
    </row>
    <row r="28" spans="1:13" ht="12.75">
      <c r="A28" s="231" t="s">
        <v>181</v>
      </c>
      <c r="B28" s="232" t="s">
        <v>180</v>
      </c>
      <c r="C28" s="29">
        <f t="shared" si="4"/>
        <v>200</v>
      </c>
      <c r="D28" s="29"/>
      <c r="E28" s="29"/>
      <c r="F28" s="29">
        <v>200</v>
      </c>
      <c r="G28" s="29"/>
      <c r="H28" s="29"/>
      <c r="I28" s="29"/>
      <c r="J28" s="29"/>
      <c r="K28" s="64">
        <f t="shared" si="1"/>
        <v>200</v>
      </c>
      <c r="L28" s="7"/>
      <c r="M28" s="20"/>
    </row>
    <row r="29" spans="1:13" ht="25.5">
      <c r="A29" s="63" t="s">
        <v>387</v>
      </c>
      <c r="B29" s="19" t="s">
        <v>388</v>
      </c>
      <c r="C29" s="29">
        <f>D29+E29+F29+G29</f>
        <v>46249.2</v>
      </c>
      <c r="D29" s="29">
        <f>13780.4+497.5+2365.5+0.4</f>
        <v>16643.800000000003</v>
      </c>
      <c r="E29" s="29">
        <v>5196.6</v>
      </c>
      <c r="F29" s="29">
        <f>20547.7+2985.6+875.3+0.2</f>
        <v>24408.8</v>
      </c>
      <c r="G29" s="29"/>
      <c r="H29" s="29">
        <v>7650</v>
      </c>
      <c r="I29" s="29"/>
      <c r="J29" s="29"/>
      <c r="K29" s="64">
        <f t="shared" si="1"/>
        <v>53899.2</v>
      </c>
      <c r="L29" s="7"/>
      <c r="M29" s="20"/>
    </row>
    <row r="30" spans="1:13" ht="13.5" customHeight="1">
      <c r="A30" s="63" t="s">
        <v>389</v>
      </c>
      <c r="B30" s="19" t="s">
        <v>390</v>
      </c>
      <c r="C30" s="29">
        <f aca="true" t="shared" si="5" ref="C30:C41">D30+E30+F30</f>
        <v>461.20000000000005</v>
      </c>
      <c r="D30" s="29">
        <f>212.1+76.2</f>
        <v>288.3</v>
      </c>
      <c r="E30" s="29">
        <v>12.6</v>
      </c>
      <c r="F30" s="29">
        <f>132.1+28.2</f>
        <v>160.29999999999998</v>
      </c>
      <c r="G30" s="29"/>
      <c r="H30" s="29"/>
      <c r="I30" s="29"/>
      <c r="J30" s="29"/>
      <c r="K30" s="64">
        <f t="shared" si="1"/>
        <v>461.20000000000005</v>
      </c>
      <c r="L30" s="7"/>
      <c r="M30" s="20"/>
    </row>
    <row r="31" spans="1:13" ht="25.5">
      <c r="A31" s="63" t="s">
        <v>391</v>
      </c>
      <c r="B31" s="19" t="s">
        <v>392</v>
      </c>
      <c r="C31" s="29">
        <f t="shared" si="5"/>
        <v>111.3</v>
      </c>
      <c r="D31" s="29"/>
      <c r="E31" s="29">
        <v>13.8</v>
      </c>
      <c r="F31" s="29">
        <v>97.5</v>
      </c>
      <c r="G31" s="29"/>
      <c r="H31" s="29"/>
      <c r="I31" s="29"/>
      <c r="J31" s="29"/>
      <c r="K31" s="64">
        <f t="shared" si="1"/>
        <v>111.3</v>
      </c>
      <c r="L31" s="7"/>
      <c r="M31" s="20"/>
    </row>
    <row r="32" spans="1:13" ht="25.5">
      <c r="A32" s="63" t="s">
        <v>393</v>
      </c>
      <c r="B32" s="19" t="s">
        <v>394</v>
      </c>
      <c r="C32" s="29">
        <f t="shared" si="5"/>
        <v>450</v>
      </c>
      <c r="D32" s="29"/>
      <c r="E32" s="29"/>
      <c r="F32" s="29">
        <v>450</v>
      </c>
      <c r="G32" s="29"/>
      <c r="H32" s="29"/>
      <c r="I32" s="29"/>
      <c r="J32" s="29"/>
      <c r="K32" s="64">
        <f t="shared" si="1"/>
        <v>450</v>
      </c>
      <c r="L32" s="7"/>
      <c r="M32" s="20"/>
    </row>
    <row r="33" spans="1:13" ht="25.5">
      <c r="A33" s="63" t="s">
        <v>395</v>
      </c>
      <c r="B33" s="19" t="s">
        <v>396</v>
      </c>
      <c r="C33" s="29">
        <f t="shared" si="5"/>
        <v>30</v>
      </c>
      <c r="D33" s="29"/>
      <c r="E33" s="29"/>
      <c r="F33" s="29">
        <v>30</v>
      </c>
      <c r="G33" s="29"/>
      <c r="H33" s="29"/>
      <c r="I33" s="29"/>
      <c r="J33" s="29"/>
      <c r="K33" s="64">
        <f t="shared" si="1"/>
        <v>30</v>
      </c>
      <c r="L33" s="7"/>
      <c r="M33" s="20"/>
    </row>
    <row r="34" spans="1:13" ht="12.75">
      <c r="A34" s="63" t="s">
        <v>397</v>
      </c>
      <c r="B34" s="19" t="s">
        <v>398</v>
      </c>
      <c r="C34" s="29">
        <f t="shared" si="5"/>
        <v>696.7</v>
      </c>
      <c r="D34" s="29">
        <f>220.4+36.7</f>
        <v>257.1</v>
      </c>
      <c r="E34" s="29">
        <f>23.4+3.5</f>
        <v>26.9</v>
      </c>
      <c r="F34" s="29">
        <f>402.6-3.5+13.6</f>
        <v>412.70000000000005</v>
      </c>
      <c r="G34" s="29"/>
      <c r="H34" s="29"/>
      <c r="I34" s="29"/>
      <c r="J34" s="29"/>
      <c r="K34" s="64">
        <f t="shared" si="1"/>
        <v>696.7</v>
      </c>
      <c r="L34" s="7"/>
      <c r="M34" s="20"/>
    </row>
    <row r="35" spans="1:13" ht="12.75">
      <c r="A35" s="63" t="s">
        <v>399</v>
      </c>
      <c r="B35" s="19" t="s">
        <v>400</v>
      </c>
      <c r="C35" s="29">
        <f t="shared" si="5"/>
        <v>780.2</v>
      </c>
      <c r="D35" s="29">
        <f>199+32.4</f>
        <v>231.4</v>
      </c>
      <c r="E35" s="29">
        <v>45.6</v>
      </c>
      <c r="F35" s="29">
        <f>491.2+12</f>
        <v>503.2</v>
      </c>
      <c r="G35" s="29"/>
      <c r="H35" s="29"/>
      <c r="I35" s="29"/>
      <c r="J35" s="29"/>
      <c r="K35" s="64">
        <f t="shared" si="1"/>
        <v>780.2</v>
      </c>
      <c r="L35" s="7"/>
      <c r="M35" s="20"/>
    </row>
    <row r="36" spans="1:13" ht="25.5">
      <c r="A36" s="63" t="s">
        <v>401</v>
      </c>
      <c r="B36" s="19" t="s">
        <v>402</v>
      </c>
      <c r="C36" s="29">
        <f t="shared" si="5"/>
        <v>50</v>
      </c>
      <c r="D36" s="29"/>
      <c r="E36" s="29"/>
      <c r="F36" s="29">
        <v>50</v>
      </c>
      <c r="G36" s="29"/>
      <c r="H36" s="29"/>
      <c r="I36" s="29"/>
      <c r="J36" s="29"/>
      <c r="K36" s="64">
        <f t="shared" si="1"/>
        <v>50</v>
      </c>
      <c r="L36" s="7"/>
      <c r="M36" s="20"/>
    </row>
    <row r="37" spans="1:13" ht="65.25" customHeight="1">
      <c r="A37" s="63" t="s">
        <v>230</v>
      </c>
      <c r="B37" s="19" t="s">
        <v>403</v>
      </c>
      <c r="C37" s="29">
        <f t="shared" si="5"/>
        <v>500</v>
      </c>
      <c r="D37" s="29"/>
      <c r="E37" s="29"/>
      <c r="F37" s="29">
        <v>500</v>
      </c>
      <c r="G37" s="29"/>
      <c r="H37" s="29"/>
      <c r="I37" s="29"/>
      <c r="J37" s="29"/>
      <c r="K37" s="64">
        <f t="shared" si="1"/>
        <v>500</v>
      </c>
      <c r="L37" s="7"/>
      <c r="M37" s="20"/>
    </row>
    <row r="38" spans="1:13" ht="25.5">
      <c r="A38" s="63" t="s">
        <v>231</v>
      </c>
      <c r="B38" s="19" t="s">
        <v>232</v>
      </c>
      <c r="C38" s="29">
        <f t="shared" si="5"/>
        <v>136.8</v>
      </c>
      <c r="D38" s="29"/>
      <c r="E38" s="29"/>
      <c r="F38" s="29">
        <v>136.8</v>
      </c>
      <c r="G38" s="29"/>
      <c r="H38" s="29"/>
      <c r="I38" s="29"/>
      <c r="J38" s="29"/>
      <c r="K38" s="64">
        <f t="shared" si="1"/>
        <v>136.8</v>
      </c>
      <c r="L38" s="7"/>
      <c r="M38" s="20"/>
    </row>
    <row r="39" spans="1:13" ht="25.5">
      <c r="A39" s="63" t="s">
        <v>404</v>
      </c>
      <c r="B39" s="19" t="s">
        <v>405</v>
      </c>
      <c r="C39" s="29">
        <f t="shared" si="5"/>
        <v>20.9</v>
      </c>
      <c r="D39" s="29">
        <f>10.2+5.3-0.4</f>
        <v>15.1</v>
      </c>
      <c r="E39" s="29"/>
      <c r="F39" s="29">
        <f>4+2-0.2</f>
        <v>5.8</v>
      </c>
      <c r="G39" s="29"/>
      <c r="H39" s="29"/>
      <c r="I39" s="29"/>
      <c r="J39" s="29"/>
      <c r="K39" s="64">
        <f t="shared" si="1"/>
        <v>20.9</v>
      </c>
      <c r="L39" s="7"/>
      <c r="M39" s="20"/>
    </row>
    <row r="40" spans="1:13" ht="12.75">
      <c r="A40" s="63" t="s">
        <v>406</v>
      </c>
      <c r="B40" s="19" t="s">
        <v>407</v>
      </c>
      <c r="C40" s="29">
        <f t="shared" si="5"/>
        <v>37.400000000000006</v>
      </c>
      <c r="D40" s="29">
        <f>21.7+3.6</f>
        <v>25.3</v>
      </c>
      <c r="E40" s="29"/>
      <c r="F40" s="29">
        <f>10.8+1.3</f>
        <v>12.100000000000001</v>
      </c>
      <c r="G40" s="29"/>
      <c r="H40" s="29"/>
      <c r="I40" s="29"/>
      <c r="J40" s="29"/>
      <c r="K40" s="64">
        <f t="shared" si="1"/>
        <v>37.400000000000006</v>
      </c>
      <c r="L40" s="7"/>
      <c r="M40" s="20"/>
    </row>
    <row r="41" spans="1:13" ht="27.75" customHeight="1">
      <c r="A41" s="63" t="s">
        <v>233</v>
      </c>
      <c r="B41" s="23" t="s">
        <v>408</v>
      </c>
      <c r="C41" s="29">
        <f t="shared" si="5"/>
        <v>2951.4</v>
      </c>
      <c r="D41" s="29">
        <f>1027.9+168.7</f>
        <v>1196.6000000000001</v>
      </c>
      <c r="E41" s="29">
        <v>61.3</v>
      </c>
      <c r="F41" s="29">
        <f>1631.1+62.4</f>
        <v>1693.5</v>
      </c>
      <c r="G41" s="29"/>
      <c r="H41" s="29">
        <v>213</v>
      </c>
      <c r="I41" s="29"/>
      <c r="J41" s="29"/>
      <c r="K41" s="64">
        <f t="shared" si="1"/>
        <v>3164.4</v>
      </c>
      <c r="L41" s="7"/>
      <c r="M41" s="20"/>
    </row>
    <row r="42" spans="1:12" s="20" customFormat="1" ht="12.75">
      <c r="A42" s="61">
        <v>100000</v>
      </c>
      <c r="B42" s="25" t="s">
        <v>236</v>
      </c>
      <c r="C42" s="44">
        <f>D42+E42+F42+G42</f>
        <v>34685.7</v>
      </c>
      <c r="D42" s="44"/>
      <c r="E42" s="44"/>
      <c r="F42" s="44">
        <f>13000+9100</f>
        <v>22100</v>
      </c>
      <c r="G42" s="44">
        <v>12585.7</v>
      </c>
      <c r="H42" s="44"/>
      <c r="I42" s="44"/>
      <c r="J42" s="44"/>
      <c r="K42" s="62">
        <f t="shared" si="1"/>
        <v>34685.7</v>
      </c>
      <c r="L42" s="22"/>
    </row>
    <row r="43" spans="1:12" s="20" customFormat="1" ht="38.25" hidden="1">
      <c r="A43" s="63" t="s">
        <v>409</v>
      </c>
      <c r="B43" s="19" t="s">
        <v>410</v>
      </c>
      <c r="C43" s="29">
        <f>F43</f>
        <v>0</v>
      </c>
      <c r="D43" s="29"/>
      <c r="E43" s="29"/>
      <c r="F43" s="29"/>
      <c r="G43" s="44"/>
      <c r="H43" s="44"/>
      <c r="I43" s="44"/>
      <c r="J43" s="44"/>
      <c r="K43" s="62">
        <f t="shared" si="1"/>
        <v>0</v>
      </c>
      <c r="L43" s="22"/>
    </row>
    <row r="44" spans="1:12" s="20" customFormat="1" ht="15" customHeight="1">
      <c r="A44" s="68">
        <v>110000</v>
      </c>
      <c r="B44" s="25" t="s">
        <v>411</v>
      </c>
      <c r="C44" s="44">
        <f>D44+E44+F44+G44</f>
        <v>32694.6</v>
      </c>
      <c r="D44" s="44">
        <f>2446.4+138.8+380.1</f>
        <v>2965.3</v>
      </c>
      <c r="E44" s="44">
        <f>461.9+42.6</f>
        <v>504.5</v>
      </c>
      <c r="F44" s="44">
        <f>20381+6445.3-42.6+2441.1</f>
        <v>29224.8</v>
      </c>
      <c r="G44" s="294">
        <f>G45+G46+G47</f>
        <v>0</v>
      </c>
      <c r="H44" s="44">
        <f>520.5+20</f>
        <v>540.5</v>
      </c>
      <c r="I44" s="44"/>
      <c r="J44" s="44"/>
      <c r="K44" s="62">
        <f t="shared" si="1"/>
        <v>33235.1</v>
      </c>
      <c r="L44" s="22"/>
    </row>
    <row r="45" spans="1:13" ht="15" customHeight="1">
      <c r="A45" s="69" t="s">
        <v>412</v>
      </c>
      <c r="B45" s="19" t="s">
        <v>413</v>
      </c>
      <c r="C45" s="29">
        <f>D45+E45+F45+G45</f>
        <v>14525.1</v>
      </c>
      <c r="D45" s="29"/>
      <c r="E45" s="29"/>
      <c r="F45" s="29">
        <f>10208.5+2685.9+1630.7</f>
        <v>14525.1</v>
      </c>
      <c r="G45" s="29"/>
      <c r="H45" s="29"/>
      <c r="I45" s="29"/>
      <c r="J45" s="29"/>
      <c r="K45" s="64">
        <f t="shared" si="1"/>
        <v>14525.1</v>
      </c>
      <c r="L45" s="7"/>
      <c r="M45" s="20"/>
    </row>
    <row r="46" spans="1:13" ht="25.5">
      <c r="A46" s="69" t="s">
        <v>414</v>
      </c>
      <c r="B46" s="19" t="s">
        <v>415</v>
      </c>
      <c r="C46" s="29">
        <f>D46+E46+F46+G46</f>
        <v>8528.9</v>
      </c>
      <c r="D46" s="29"/>
      <c r="E46" s="29"/>
      <c r="F46" s="29">
        <f>5500.7+2396.4+631.8</f>
        <v>8528.9</v>
      </c>
      <c r="G46" s="29"/>
      <c r="H46" s="29"/>
      <c r="I46" s="29"/>
      <c r="J46" s="29"/>
      <c r="K46" s="64">
        <f t="shared" si="1"/>
        <v>8528.9</v>
      </c>
      <c r="L46" s="7"/>
      <c r="M46" s="20"/>
    </row>
    <row r="47" spans="1:13" ht="12.75">
      <c r="A47" s="69">
        <v>110300</v>
      </c>
      <c r="B47" s="19" t="s">
        <v>237</v>
      </c>
      <c r="C47" s="29">
        <f>D47+E47+F47</f>
        <v>291</v>
      </c>
      <c r="D47" s="29"/>
      <c r="E47" s="29"/>
      <c r="F47" s="29">
        <f>253+38</f>
        <v>291</v>
      </c>
      <c r="G47" s="29"/>
      <c r="H47" s="29"/>
      <c r="I47" s="29"/>
      <c r="J47" s="29"/>
      <c r="K47" s="64">
        <f t="shared" si="1"/>
        <v>291</v>
      </c>
      <c r="L47" s="7"/>
      <c r="M47" s="20"/>
    </row>
    <row r="48" spans="1:12" s="20" customFormat="1" ht="12.75">
      <c r="A48" s="68">
        <v>120000</v>
      </c>
      <c r="B48" s="57" t="s">
        <v>238</v>
      </c>
      <c r="C48" s="44">
        <f>C49+C50</f>
        <v>5392.2</v>
      </c>
      <c r="D48" s="294">
        <f>D49+D50</f>
        <v>0</v>
      </c>
      <c r="E48" s="294">
        <f>E49+E50</f>
        <v>0</v>
      </c>
      <c r="F48" s="44">
        <f>F49+F50</f>
        <v>3080</v>
      </c>
      <c r="G48" s="44">
        <f>G49+G50</f>
        <v>2312.2</v>
      </c>
      <c r="H48" s="44"/>
      <c r="I48" s="44"/>
      <c r="J48" s="44"/>
      <c r="K48" s="62">
        <f t="shared" si="1"/>
        <v>5392.2</v>
      </c>
      <c r="L48" s="22"/>
    </row>
    <row r="49" spans="1:13" ht="24" customHeight="1">
      <c r="A49" s="69">
        <v>120201</v>
      </c>
      <c r="B49" s="19" t="s">
        <v>239</v>
      </c>
      <c r="C49" s="29">
        <f>D49+E49+F49+G49</f>
        <v>4715.9</v>
      </c>
      <c r="D49" s="29"/>
      <c r="E49" s="29"/>
      <c r="F49" s="29">
        <v>2403.7</v>
      </c>
      <c r="G49" s="29">
        <v>2312.2</v>
      </c>
      <c r="H49" s="29"/>
      <c r="I49" s="29"/>
      <c r="J49" s="29"/>
      <c r="K49" s="64">
        <f t="shared" si="1"/>
        <v>4715.9</v>
      </c>
      <c r="L49" s="7"/>
      <c r="M49" s="20"/>
    </row>
    <row r="50" spans="1:13" ht="15" customHeight="1">
      <c r="A50" s="69">
        <v>120300</v>
      </c>
      <c r="B50" s="19" t="s">
        <v>240</v>
      </c>
      <c r="C50" s="29">
        <f>D50+E50+F50</f>
        <v>676.3</v>
      </c>
      <c r="D50" s="29"/>
      <c r="E50" s="29"/>
      <c r="F50" s="29">
        <f>260+127.4+288.9</f>
        <v>676.3</v>
      </c>
      <c r="G50" s="29"/>
      <c r="H50" s="29"/>
      <c r="I50" s="29"/>
      <c r="J50" s="29"/>
      <c r="K50" s="64">
        <f t="shared" si="1"/>
        <v>676.3</v>
      </c>
      <c r="L50" s="7"/>
      <c r="M50" s="20"/>
    </row>
    <row r="51" spans="1:12" s="20" customFormat="1" ht="15" customHeight="1">
      <c r="A51" s="68">
        <v>130000</v>
      </c>
      <c r="B51" s="25" t="s">
        <v>241</v>
      </c>
      <c r="C51" s="44">
        <f>D51+E51+F51+G51</f>
        <v>28239.4</v>
      </c>
      <c r="D51" s="44">
        <f>1896.8+368.1</f>
        <v>2264.9</v>
      </c>
      <c r="E51" s="44">
        <f>34.7+1.1</f>
        <v>35.800000000000004</v>
      </c>
      <c r="F51" s="44">
        <f>19331.2+5000+584+1023.5</f>
        <v>25938.7</v>
      </c>
      <c r="G51" s="44"/>
      <c r="H51" s="44"/>
      <c r="I51" s="44"/>
      <c r="J51" s="44"/>
      <c r="K51" s="62">
        <f t="shared" si="1"/>
        <v>28239.4</v>
      </c>
      <c r="L51" s="22"/>
    </row>
    <row r="52" spans="1:12" s="20" customFormat="1" ht="15" customHeight="1">
      <c r="A52" s="68">
        <v>150000</v>
      </c>
      <c r="B52" s="25" t="s">
        <v>242</v>
      </c>
      <c r="C52" s="294">
        <f>C53+C55+C56+C57+C54</f>
        <v>0</v>
      </c>
      <c r="D52" s="294">
        <f>D53+D55+D56+D57+D54</f>
        <v>0</v>
      </c>
      <c r="E52" s="294">
        <f>E53+E55+E56+E57+E54</f>
        <v>0</v>
      </c>
      <c r="F52" s="294">
        <f>F53+F55+F56+F57+F54</f>
        <v>0</v>
      </c>
      <c r="G52" s="294">
        <f>G53+G55+G56+G57+G54</f>
        <v>0</v>
      </c>
      <c r="H52" s="44">
        <f>H53+H55+H56+H57+H54+H58</f>
        <v>56043.9</v>
      </c>
      <c r="I52" s="44">
        <f>I53+I55+I56+I57+I54+I58</f>
        <v>56043.9</v>
      </c>
      <c r="J52" s="44">
        <f>J53</f>
        <v>250</v>
      </c>
      <c r="K52" s="62">
        <f>H52+C52</f>
        <v>56043.9</v>
      </c>
      <c r="L52" s="22"/>
    </row>
    <row r="53" spans="1:13" ht="13.5" customHeight="1">
      <c r="A53" s="69">
        <v>150101</v>
      </c>
      <c r="B53" s="19" t="s">
        <v>243</v>
      </c>
      <c r="C53" s="305">
        <f aca="true" t="shared" si="6" ref="C53:C58">D53+E53+F53</f>
        <v>0</v>
      </c>
      <c r="D53" s="305"/>
      <c r="E53" s="305"/>
      <c r="F53" s="305"/>
      <c r="G53" s="305"/>
      <c r="H53" s="29">
        <f>30000+300+1000+3000+12000+2.5-1860+250+500+500</f>
        <v>45692.5</v>
      </c>
      <c r="I53" s="29">
        <f>H53</f>
        <v>45692.5</v>
      </c>
      <c r="J53" s="29">
        <v>250</v>
      </c>
      <c r="K53" s="64">
        <f aca="true" t="shared" si="7" ref="K53:K77">C53+H53</f>
        <v>45692.5</v>
      </c>
      <c r="L53" s="7"/>
      <c r="M53" s="20"/>
    </row>
    <row r="54" spans="1:13" ht="67.5" customHeight="1">
      <c r="A54" s="69" t="s">
        <v>416</v>
      </c>
      <c r="B54" s="70" t="s">
        <v>417</v>
      </c>
      <c r="C54" s="305">
        <f t="shared" si="6"/>
        <v>0</v>
      </c>
      <c r="D54" s="305"/>
      <c r="E54" s="305"/>
      <c r="F54" s="305"/>
      <c r="G54" s="305"/>
      <c r="H54" s="29">
        <v>3891.4</v>
      </c>
      <c r="I54" s="29">
        <v>3891.4</v>
      </c>
      <c r="J54" s="29"/>
      <c r="K54" s="64">
        <f t="shared" si="7"/>
        <v>3891.4</v>
      </c>
      <c r="L54" s="7"/>
      <c r="M54" s="20"/>
    </row>
    <row r="55" spans="1:13" ht="30" customHeight="1">
      <c r="A55" s="69" t="s">
        <v>418</v>
      </c>
      <c r="B55" s="70" t="s">
        <v>419</v>
      </c>
      <c r="C55" s="305">
        <f t="shared" si="6"/>
        <v>0</v>
      </c>
      <c r="D55" s="305"/>
      <c r="E55" s="305"/>
      <c r="F55" s="305"/>
      <c r="G55" s="305"/>
      <c r="H55" s="29">
        <f>I55</f>
        <v>2460</v>
      </c>
      <c r="I55" s="29">
        <f>600+1860</f>
        <v>2460</v>
      </c>
      <c r="J55" s="29"/>
      <c r="K55" s="64">
        <f t="shared" si="7"/>
        <v>2460</v>
      </c>
      <c r="L55" s="7"/>
      <c r="M55" s="20"/>
    </row>
    <row r="56" spans="1:13" ht="42" customHeight="1" hidden="1">
      <c r="A56" s="69" t="s">
        <v>420</v>
      </c>
      <c r="B56" s="70" t="s">
        <v>421</v>
      </c>
      <c r="C56" s="305">
        <f t="shared" si="6"/>
        <v>0</v>
      </c>
      <c r="D56" s="305"/>
      <c r="E56" s="305"/>
      <c r="F56" s="305"/>
      <c r="G56" s="305"/>
      <c r="H56" s="29">
        <f>I56</f>
        <v>0</v>
      </c>
      <c r="I56" s="29"/>
      <c r="J56" s="29"/>
      <c r="K56" s="64">
        <f t="shared" si="7"/>
        <v>0</v>
      </c>
      <c r="L56" s="7"/>
      <c r="M56" s="20"/>
    </row>
    <row r="57" spans="1:13" ht="13.5" customHeight="1">
      <c r="A57" s="69" t="s">
        <v>422</v>
      </c>
      <c r="B57" s="19" t="s">
        <v>423</v>
      </c>
      <c r="C57" s="305">
        <f t="shared" si="6"/>
        <v>0</v>
      </c>
      <c r="D57" s="305"/>
      <c r="E57" s="305"/>
      <c r="F57" s="305"/>
      <c r="G57" s="305"/>
      <c r="H57" s="29">
        <f>I57</f>
        <v>4000</v>
      </c>
      <c r="I57" s="29">
        <v>4000</v>
      </c>
      <c r="J57" s="29"/>
      <c r="K57" s="64">
        <f t="shared" si="7"/>
        <v>4000</v>
      </c>
      <c r="L57" s="7"/>
      <c r="M57" s="20"/>
    </row>
    <row r="58" spans="1:13" ht="13.5" customHeight="1" hidden="1">
      <c r="A58" s="69" t="s">
        <v>424</v>
      </c>
      <c r="B58" s="19" t="s">
        <v>425</v>
      </c>
      <c r="C58" s="305">
        <f t="shared" si="6"/>
        <v>0</v>
      </c>
      <c r="D58" s="305"/>
      <c r="E58" s="305"/>
      <c r="F58" s="305"/>
      <c r="G58" s="305"/>
      <c r="H58" s="29">
        <f>I58</f>
        <v>0</v>
      </c>
      <c r="I58" s="29"/>
      <c r="J58" s="29"/>
      <c r="K58" s="64">
        <f t="shared" si="7"/>
        <v>0</v>
      </c>
      <c r="L58" s="7"/>
      <c r="M58" s="20"/>
    </row>
    <row r="59" spans="1:12" s="20" customFormat="1" ht="24.75" customHeight="1">
      <c r="A59" s="68">
        <v>170000</v>
      </c>
      <c r="B59" s="25" t="s">
        <v>244</v>
      </c>
      <c r="C59" s="294">
        <f>C61+C60</f>
        <v>0</v>
      </c>
      <c r="D59" s="294">
        <f>D61+D60</f>
        <v>0</v>
      </c>
      <c r="E59" s="294">
        <f>E61+E60</f>
        <v>0</v>
      </c>
      <c r="F59" s="294">
        <f>F61+F60</f>
        <v>0</v>
      </c>
      <c r="G59" s="294">
        <f>G61+G60</f>
        <v>0</v>
      </c>
      <c r="H59" s="44">
        <f>H61</f>
        <v>33500</v>
      </c>
      <c r="I59" s="44"/>
      <c r="J59" s="44"/>
      <c r="K59" s="62">
        <f t="shared" si="7"/>
        <v>33500</v>
      </c>
      <c r="L59" s="22"/>
    </row>
    <row r="60" spans="1:12" s="20" customFormat="1" ht="12.75" hidden="1">
      <c r="A60" s="69" t="s">
        <v>426</v>
      </c>
      <c r="B60" s="19" t="s">
        <v>427</v>
      </c>
      <c r="C60" s="305">
        <f>D60+E60+F60</f>
        <v>0</v>
      </c>
      <c r="D60" s="305"/>
      <c r="E60" s="305"/>
      <c r="F60" s="305"/>
      <c r="G60" s="305"/>
      <c r="H60" s="29"/>
      <c r="I60" s="29"/>
      <c r="J60" s="29"/>
      <c r="K60" s="64">
        <f t="shared" si="7"/>
        <v>0</v>
      </c>
      <c r="L60" s="22"/>
    </row>
    <row r="61" spans="1:13" ht="41.25" customHeight="1">
      <c r="A61" s="69">
        <v>170703</v>
      </c>
      <c r="B61" s="19" t="s">
        <v>428</v>
      </c>
      <c r="C61" s="305">
        <f>D61+E61+F61</f>
        <v>0</v>
      </c>
      <c r="D61" s="305"/>
      <c r="E61" s="305"/>
      <c r="F61" s="305"/>
      <c r="G61" s="305"/>
      <c r="H61" s="29">
        <f>36050-2550</f>
        <v>33500</v>
      </c>
      <c r="I61" s="29"/>
      <c r="J61" s="29"/>
      <c r="K61" s="64">
        <f t="shared" si="7"/>
        <v>33500</v>
      </c>
      <c r="L61" s="7"/>
      <c r="M61" s="20"/>
    </row>
    <row r="62" spans="1:13" ht="38.25" customHeight="1">
      <c r="A62" s="68">
        <v>180109</v>
      </c>
      <c r="B62" s="25" t="s">
        <v>246</v>
      </c>
      <c r="C62" s="44">
        <f>D62+E62+F62</f>
        <v>4625</v>
      </c>
      <c r="D62" s="29"/>
      <c r="E62" s="29"/>
      <c r="F62" s="44">
        <f>2400+1825+400</f>
        <v>4625</v>
      </c>
      <c r="G62" s="29"/>
      <c r="H62" s="44"/>
      <c r="I62" s="44"/>
      <c r="J62" s="29"/>
      <c r="K62" s="62">
        <f t="shared" si="7"/>
        <v>4625</v>
      </c>
      <c r="L62" s="7"/>
      <c r="M62" s="20"/>
    </row>
    <row r="63" spans="1:13" ht="21.75" customHeight="1">
      <c r="A63" s="68" t="s">
        <v>183</v>
      </c>
      <c r="B63" s="53" t="s">
        <v>184</v>
      </c>
      <c r="C63" s="44">
        <f>D63+E63+F63</f>
        <v>450</v>
      </c>
      <c r="D63" s="29"/>
      <c r="E63" s="29"/>
      <c r="F63" s="44">
        <v>450</v>
      </c>
      <c r="G63" s="29"/>
      <c r="H63" s="44"/>
      <c r="I63" s="29"/>
      <c r="J63" s="29"/>
      <c r="K63" s="62">
        <f t="shared" si="7"/>
        <v>450</v>
      </c>
      <c r="L63" s="7"/>
      <c r="M63" s="20"/>
    </row>
    <row r="64" spans="1:13" ht="25.5" customHeight="1">
      <c r="A64" s="68">
        <v>180404</v>
      </c>
      <c r="B64" s="25" t="s">
        <v>247</v>
      </c>
      <c r="C64" s="44">
        <f>D64+E64+F64</f>
        <v>200</v>
      </c>
      <c r="D64" s="29"/>
      <c r="E64" s="29"/>
      <c r="F64" s="44">
        <v>200</v>
      </c>
      <c r="G64" s="29"/>
      <c r="H64" s="44"/>
      <c r="I64" s="29"/>
      <c r="J64" s="29"/>
      <c r="K64" s="62">
        <f t="shared" si="7"/>
        <v>200</v>
      </c>
      <c r="L64" s="7"/>
      <c r="M64" s="20"/>
    </row>
    <row r="65" spans="1:13" ht="54.75" customHeight="1">
      <c r="A65" s="68" t="s">
        <v>429</v>
      </c>
      <c r="B65" s="25" t="s">
        <v>430</v>
      </c>
      <c r="C65" s="44"/>
      <c r="D65" s="29"/>
      <c r="E65" s="29"/>
      <c r="F65" s="44"/>
      <c r="G65" s="29"/>
      <c r="H65" s="44">
        <f>I65</f>
        <v>160</v>
      </c>
      <c r="I65" s="44">
        <f>60+100</f>
        <v>160</v>
      </c>
      <c r="J65" s="29"/>
      <c r="K65" s="62">
        <f t="shared" si="7"/>
        <v>160</v>
      </c>
      <c r="L65" s="7"/>
      <c r="M65" s="20"/>
    </row>
    <row r="66" spans="1:12" s="20" customFormat="1" ht="25.5">
      <c r="A66" s="68">
        <v>210000</v>
      </c>
      <c r="B66" s="56" t="s">
        <v>431</v>
      </c>
      <c r="C66" s="44">
        <f>D66+E66+F66+G66</f>
        <v>3463</v>
      </c>
      <c r="D66" s="44"/>
      <c r="E66" s="44"/>
      <c r="F66" s="44">
        <f>3000+463</f>
        <v>3463</v>
      </c>
      <c r="G66" s="44"/>
      <c r="H66" s="44"/>
      <c r="I66" s="44"/>
      <c r="J66" s="44"/>
      <c r="K66" s="62">
        <f>C66+H66</f>
        <v>3463</v>
      </c>
      <c r="L66" s="22"/>
    </row>
    <row r="67" spans="1:12" s="20" customFormat="1" ht="16.5" customHeight="1">
      <c r="A67" s="61" t="s">
        <v>283</v>
      </c>
      <c r="B67" s="71" t="s">
        <v>284</v>
      </c>
      <c r="C67" s="294">
        <f>D67+E67+F67</f>
        <v>0</v>
      </c>
      <c r="D67" s="44"/>
      <c r="E67" s="44"/>
      <c r="F67" s="44"/>
      <c r="G67" s="44"/>
      <c r="H67" s="44">
        <v>821</v>
      </c>
      <c r="I67" s="44"/>
      <c r="J67" s="44"/>
      <c r="K67" s="62">
        <f t="shared" si="7"/>
        <v>821</v>
      </c>
      <c r="L67" s="22"/>
    </row>
    <row r="68" spans="1:12" s="20" customFormat="1" ht="16.5" customHeight="1" hidden="1">
      <c r="A68" s="61" t="s">
        <v>185</v>
      </c>
      <c r="B68" s="53" t="s">
        <v>186</v>
      </c>
      <c r="C68" s="44">
        <f>D68+E68+F68</f>
        <v>0</v>
      </c>
      <c r="D68" s="44"/>
      <c r="E68" s="44"/>
      <c r="F68" s="44">
        <f>212-212</f>
        <v>0</v>
      </c>
      <c r="G68" s="44"/>
      <c r="H68" s="44"/>
      <c r="I68" s="44"/>
      <c r="J68" s="44"/>
      <c r="K68" s="62">
        <f t="shared" si="7"/>
        <v>0</v>
      </c>
      <c r="L68" s="22"/>
    </row>
    <row r="69" spans="1:12" s="20" customFormat="1" ht="13.5" customHeight="1">
      <c r="A69" s="68">
        <v>230000</v>
      </c>
      <c r="B69" s="25" t="s">
        <v>248</v>
      </c>
      <c r="C69" s="44">
        <f>D69+E69+F69</f>
        <v>0.1</v>
      </c>
      <c r="D69" s="44"/>
      <c r="E69" s="44"/>
      <c r="F69" s="44">
        <v>0.1</v>
      </c>
      <c r="G69" s="44"/>
      <c r="H69" s="44"/>
      <c r="I69" s="44"/>
      <c r="J69" s="44"/>
      <c r="K69" s="62">
        <f t="shared" si="7"/>
        <v>0.1</v>
      </c>
      <c r="L69" s="22"/>
    </row>
    <row r="70" spans="1:13" s="20" customFormat="1" ht="13.5" customHeight="1">
      <c r="A70" s="61">
        <v>240000</v>
      </c>
      <c r="B70" s="25" t="s">
        <v>249</v>
      </c>
      <c r="C70" s="294">
        <f aca="true" t="shared" si="8" ref="C70:H70">C71</f>
        <v>0</v>
      </c>
      <c r="D70" s="294">
        <f t="shared" si="8"/>
        <v>0</v>
      </c>
      <c r="E70" s="294">
        <f t="shared" si="8"/>
        <v>0</v>
      </c>
      <c r="F70" s="294">
        <f t="shared" si="8"/>
        <v>0</v>
      </c>
      <c r="G70" s="294">
        <f t="shared" si="8"/>
        <v>0</v>
      </c>
      <c r="H70" s="44">
        <f t="shared" si="8"/>
        <v>45500</v>
      </c>
      <c r="I70" s="44"/>
      <c r="J70" s="44"/>
      <c r="K70" s="62">
        <f t="shared" si="7"/>
        <v>45500</v>
      </c>
      <c r="L70" s="22"/>
      <c r="M70" s="20">
        <f>3840.4+420</f>
        <v>4260.4</v>
      </c>
    </row>
    <row r="71" spans="1:13" ht="70.5" customHeight="1">
      <c r="A71" s="63" t="s">
        <v>338</v>
      </c>
      <c r="B71" s="23" t="s">
        <v>250</v>
      </c>
      <c r="C71" s="305">
        <f>D71+E71+F71</f>
        <v>0</v>
      </c>
      <c r="D71" s="305"/>
      <c r="E71" s="305"/>
      <c r="F71" s="305"/>
      <c r="G71" s="29"/>
      <c r="H71" s="29">
        <v>45500</v>
      </c>
      <c r="I71" s="29"/>
      <c r="J71" s="29"/>
      <c r="K71" s="64">
        <f t="shared" si="7"/>
        <v>45500</v>
      </c>
      <c r="L71" s="7"/>
      <c r="M71" s="20"/>
    </row>
    <row r="72" spans="1:12" s="20" customFormat="1" ht="12.75">
      <c r="A72" s="68">
        <v>250000</v>
      </c>
      <c r="B72" s="71" t="s">
        <v>251</v>
      </c>
      <c r="C72" s="66">
        <f>C73+C74+C79+C77+C76+C75</f>
        <v>57918.8</v>
      </c>
      <c r="D72" s="66">
        <f>D73+D74+D79+D77+D76+D75</f>
        <v>2</v>
      </c>
      <c r="E72" s="308">
        <f>E73+E74+E79+E77+E76+E75</f>
        <v>0</v>
      </c>
      <c r="F72" s="66">
        <f>F73+F74+F79+F77+F76+F75</f>
        <v>57916.8</v>
      </c>
      <c r="G72" s="308">
        <f>G73+G74+G79+G77</f>
        <v>0</v>
      </c>
      <c r="H72" s="308">
        <f>H73+H74+H79+H77+H78</f>
        <v>0</v>
      </c>
      <c r="I72" s="308">
        <f>I73+I74+I79+I77+I78</f>
        <v>0</v>
      </c>
      <c r="J72" s="66"/>
      <c r="K72" s="67">
        <f t="shared" si="7"/>
        <v>57918.8</v>
      </c>
      <c r="L72" s="22"/>
    </row>
    <row r="73" spans="1:13" ht="12.75">
      <c r="A73" s="69">
        <v>250102</v>
      </c>
      <c r="B73" s="19" t="s">
        <v>252</v>
      </c>
      <c r="C73" s="29">
        <f aca="true" t="shared" si="9" ref="C73:C79">D73+E73+F73</f>
        <v>3000</v>
      </c>
      <c r="D73" s="29"/>
      <c r="E73" s="29"/>
      <c r="F73" s="29">
        <f>3000</f>
        <v>3000</v>
      </c>
      <c r="G73" s="29"/>
      <c r="H73" s="29"/>
      <c r="I73" s="29"/>
      <c r="J73" s="29"/>
      <c r="K73" s="64">
        <f t="shared" si="7"/>
        <v>3000</v>
      </c>
      <c r="L73" s="7"/>
      <c r="M73" s="20"/>
    </row>
    <row r="74" spans="1:13" ht="12.75">
      <c r="A74" s="69">
        <v>250203</v>
      </c>
      <c r="B74" s="19" t="s">
        <v>432</v>
      </c>
      <c r="C74" s="29">
        <f t="shared" si="9"/>
        <v>4.6</v>
      </c>
      <c r="D74" s="29">
        <v>2</v>
      </c>
      <c r="E74" s="29"/>
      <c r="F74" s="29">
        <v>2.6</v>
      </c>
      <c r="G74" s="29"/>
      <c r="H74" s="29"/>
      <c r="I74" s="29"/>
      <c r="J74" s="29"/>
      <c r="K74" s="64">
        <f t="shared" si="7"/>
        <v>4.6</v>
      </c>
      <c r="L74" s="7"/>
      <c r="M74" s="20"/>
    </row>
    <row r="75" spans="1:13" ht="12.75" hidden="1">
      <c r="A75" s="69" t="s">
        <v>433</v>
      </c>
      <c r="B75" s="19" t="s">
        <v>434</v>
      </c>
      <c r="C75" s="29">
        <f t="shared" si="9"/>
        <v>0</v>
      </c>
      <c r="D75" s="29"/>
      <c r="E75" s="29"/>
      <c r="F75" s="29"/>
      <c r="G75" s="29"/>
      <c r="H75" s="29"/>
      <c r="I75" s="29"/>
      <c r="J75" s="29"/>
      <c r="K75" s="64">
        <f t="shared" si="7"/>
        <v>0</v>
      </c>
      <c r="L75" s="7"/>
      <c r="M75" s="20"/>
    </row>
    <row r="76" spans="1:13" ht="26.25" customHeight="1">
      <c r="A76" s="69">
        <v>250306</v>
      </c>
      <c r="B76" s="19" t="s">
        <v>256</v>
      </c>
      <c r="C76" s="29">
        <f t="shared" si="9"/>
        <v>54453.9</v>
      </c>
      <c r="D76" s="29"/>
      <c r="E76" s="29"/>
      <c r="F76" s="29">
        <f>3891.4+51002.5-940+500</f>
        <v>54453.9</v>
      </c>
      <c r="G76" s="29"/>
      <c r="H76" s="29"/>
      <c r="I76" s="29"/>
      <c r="J76" s="29"/>
      <c r="K76" s="64">
        <f t="shared" si="7"/>
        <v>54453.9</v>
      </c>
      <c r="L76" s="7"/>
      <c r="M76" s="20"/>
    </row>
    <row r="77" spans="1:13" ht="26.25" customHeight="1">
      <c r="A77" s="69" t="s">
        <v>435</v>
      </c>
      <c r="B77" s="19" t="s">
        <v>436</v>
      </c>
      <c r="C77" s="29">
        <f t="shared" si="9"/>
        <v>181.29999999999998</v>
      </c>
      <c r="D77" s="29"/>
      <c r="E77" s="29"/>
      <c r="F77" s="29">
        <f>181.2+0.1</f>
        <v>181.29999999999998</v>
      </c>
      <c r="G77" s="29"/>
      <c r="H77" s="29"/>
      <c r="I77" s="29"/>
      <c r="J77" s="29"/>
      <c r="K77" s="64">
        <f t="shared" si="7"/>
        <v>181.29999999999998</v>
      </c>
      <c r="L77" s="7"/>
      <c r="M77" s="20"/>
    </row>
    <row r="78" spans="1:59" ht="25.5" hidden="1">
      <c r="A78" s="69" t="s">
        <v>437</v>
      </c>
      <c r="B78" s="19" t="s">
        <v>438</v>
      </c>
      <c r="C78" s="29">
        <f t="shared" si="9"/>
        <v>0</v>
      </c>
      <c r="D78" s="24"/>
      <c r="E78" s="24"/>
      <c r="F78" s="24"/>
      <c r="G78" s="24"/>
      <c r="H78" s="24">
        <f>I78</f>
        <v>0</v>
      </c>
      <c r="I78" s="24"/>
      <c r="J78" s="24"/>
      <c r="K78" s="72">
        <f>H78+C78</f>
        <v>0</v>
      </c>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row>
    <row r="79" spans="1:13" ht="12.75">
      <c r="A79" s="69">
        <v>250404</v>
      </c>
      <c r="B79" s="19" t="s">
        <v>254</v>
      </c>
      <c r="C79" s="29">
        <f t="shared" si="9"/>
        <v>279</v>
      </c>
      <c r="D79" s="29"/>
      <c r="E79" s="29"/>
      <c r="F79" s="29">
        <f>279</f>
        <v>279</v>
      </c>
      <c r="G79" s="29"/>
      <c r="H79" s="29"/>
      <c r="I79" s="29"/>
      <c r="J79" s="29"/>
      <c r="K79" s="64">
        <f>C79+H79</f>
        <v>279</v>
      </c>
      <c r="L79" s="7"/>
      <c r="M79" s="20"/>
    </row>
    <row r="80" spans="1:13" s="20" customFormat="1" ht="18" customHeight="1">
      <c r="A80" s="68"/>
      <c r="B80" s="25" t="s">
        <v>255</v>
      </c>
      <c r="C80" s="44">
        <f>C72+C71+C69+C67+C66+C65+C64+C62+C59+C52+C51+C48+C44+C42+C19+C18+C17+C15+C13+C63+C68</f>
        <v>748705.9000000001</v>
      </c>
      <c r="D80" s="44">
        <f>D72+D71+D69+D67+D66+D65+D64+D62+D59+D52+D51+D48+D44+D42+D19+D18+D17+D15+D13+D68</f>
        <v>236991.49999999997</v>
      </c>
      <c r="E80" s="44">
        <f>E72+E71+E69+E67+E66+E65+E64+E62+E59+E52+E51+E48+E44+E42+E19+E18+E17+E15+E13+E68</f>
        <v>39899.6</v>
      </c>
      <c r="F80" s="44">
        <f>F72+F71+F69+F67+F66+F65+F64+F62+F59+F52+F51+F48+F44+F42+F19+F18+F17+F15+F13+F63+F68</f>
        <v>444392.19999999995</v>
      </c>
      <c r="G80" s="44">
        <f>G72+G71+G69+G67+G66+G65+G64+G62+G59+G52+G51+G48+G44+G42+G19+G18+G17+G15+G13</f>
        <v>27422.600000000002</v>
      </c>
      <c r="H80" s="44">
        <f>H13+H15+H17+H18+H19+H42+H44+H48+H51+H52+H59+H62+H64+H66+H69+H70+H72+H67+H65</f>
        <v>159733.5</v>
      </c>
      <c r="I80" s="44">
        <f>I13+I15+I17+I18+I19+I42+I44+I48+I51+I52+I59+I62+I64+I66+I69+I70+I72+I67+I65</f>
        <v>56203.9</v>
      </c>
      <c r="J80" s="44">
        <f>J13+J15+J17+J18+J19+J42+J44+J48+J51+J52+J59+J62+J64+J66+J69+J70+J72+J67+J65</f>
        <v>250</v>
      </c>
      <c r="K80" s="62">
        <f>K13+K15+K17+K18+K19+K42+K44+K48+K51+K52+K59+K62+K64+K66+K69+K70+K72+K67+K65+K63+K68</f>
        <v>908439.4</v>
      </c>
      <c r="L80" s="27">
        <f>D80+E80+F80+G80</f>
        <v>748705.8999999999</v>
      </c>
      <c r="M80" s="28"/>
    </row>
    <row r="81" spans="1:13" s="20" customFormat="1" ht="63.75">
      <c r="A81" s="69" t="s">
        <v>439</v>
      </c>
      <c r="B81" s="45" t="s">
        <v>440</v>
      </c>
      <c r="C81" s="29">
        <f>D81+E81+F81</f>
        <v>31342</v>
      </c>
      <c r="D81" s="44"/>
      <c r="E81" s="44"/>
      <c r="F81" s="29">
        <f>14398.5+16943.5</f>
        <v>31342</v>
      </c>
      <c r="G81" s="44"/>
      <c r="H81" s="44"/>
      <c r="I81" s="44"/>
      <c r="J81" s="44"/>
      <c r="K81" s="64">
        <f aca="true" t="shared" si="10" ref="K81:K88">C81+H81</f>
        <v>31342</v>
      </c>
      <c r="L81" s="27"/>
      <c r="M81" s="28"/>
    </row>
    <row r="82" spans="1:13" s="20" customFormat="1" ht="76.5" hidden="1">
      <c r="A82" s="69" t="s">
        <v>441</v>
      </c>
      <c r="B82" s="45" t="s">
        <v>442</v>
      </c>
      <c r="C82" s="29">
        <f>D82+E82+F82</f>
        <v>0</v>
      </c>
      <c r="D82" s="44"/>
      <c r="E82" s="44"/>
      <c r="F82" s="29"/>
      <c r="G82" s="44"/>
      <c r="H82" s="44"/>
      <c r="I82" s="44"/>
      <c r="J82" s="44"/>
      <c r="K82" s="64">
        <f t="shared" si="10"/>
        <v>0</v>
      </c>
      <c r="L82" s="27"/>
      <c r="M82" s="28"/>
    </row>
    <row r="83" spans="1:13" s="20" customFormat="1" ht="63.75" hidden="1">
      <c r="A83" s="69" t="s">
        <v>443</v>
      </c>
      <c r="B83" s="73" t="s">
        <v>444</v>
      </c>
      <c r="C83" s="29">
        <f>D83+E83+F83</f>
        <v>0</v>
      </c>
      <c r="D83" s="44"/>
      <c r="E83" s="44"/>
      <c r="F83" s="29"/>
      <c r="G83" s="44"/>
      <c r="H83" s="44"/>
      <c r="I83" s="44"/>
      <c r="J83" s="44"/>
      <c r="K83" s="64">
        <f t="shared" si="10"/>
        <v>0</v>
      </c>
      <c r="L83" s="27"/>
      <c r="M83" s="28"/>
    </row>
    <row r="84" spans="1:13" ht="41.25" customHeight="1">
      <c r="A84" s="69">
        <v>250301</v>
      </c>
      <c r="B84" s="51" t="s">
        <v>445</v>
      </c>
      <c r="C84" s="29">
        <f>D84+E84+F84</f>
        <v>18497.2</v>
      </c>
      <c r="D84" s="29"/>
      <c r="E84" s="29"/>
      <c r="F84" s="29">
        <f>25306.9-6809.7</f>
        <v>18497.2</v>
      </c>
      <c r="G84" s="29"/>
      <c r="H84" s="29"/>
      <c r="I84" s="29"/>
      <c r="J84" s="29"/>
      <c r="K84" s="64">
        <f t="shared" si="10"/>
        <v>18497.2</v>
      </c>
      <c r="L84" s="7"/>
      <c r="M84" s="20"/>
    </row>
    <row r="85" spans="1:13" ht="12.75" hidden="1">
      <c r="A85" s="74"/>
      <c r="B85" s="75"/>
      <c r="C85" s="29"/>
      <c r="D85" s="44"/>
      <c r="E85" s="44"/>
      <c r="F85" s="75"/>
      <c r="G85" s="44"/>
      <c r="H85" s="44"/>
      <c r="I85" s="44"/>
      <c r="J85" s="44"/>
      <c r="K85" s="64">
        <f t="shared" si="10"/>
        <v>0</v>
      </c>
      <c r="L85" s="7"/>
      <c r="M85" s="20"/>
    </row>
    <row r="86" spans="1:13" ht="30" customHeight="1">
      <c r="A86" s="69" t="s">
        <v>33</v>
      </c>
      <c r="B86" s="73" t="s">
        <v>34</v>
      </c>
      <c r="C86" s="29">
        <f>D86+E86+F86</f>
        <v>626.0999999999999</v>
      </c>
      <c r="D86" s="44"/>
      <c r="E86" s="44"/>
      <c r="F86" s="29">
        <f>524.8+101.3</f>
        <v>626.0999999999999</v>
      </c>
      <c r="G86" s="44"/>
      <c r="H86" s="44"/>
      <c r="I86" s="44"/>
      <c r="J86" s="44"/>
      <c r="K86" s="64">
        <f t="shared" si="10"/>
        <v>626.0999999999999</v>
      </c>
      <c r="L86" s="7"/>
      <c r="M86" s="20"/>
    </row>
    <row r="87" spans="1:13" ht="40.5" customHeight="1">
      <c r="A87" s="69" t="s">
        <v>447</v>
      </c>
      <c r="B87" s="45" t="s">
        <v>448</v>
      </c>
      <c r="C87" s="29">
        <f>D87+E87+F87</f>
        <v>259687.8</v>
      </c>
      <c r="D87" s="44"/>
      <c r="E87" s="44"/>
      <c r="F87" s="29">
        <f>135671.6+124016.2</f>
        <v>259687.8</v>
      </c>
      <c r="G87" s="44"/>
      <c r="H87" s="44"/>
      <c r="I87" s="44"/>
      <c r="J87" s="44"/>
      <c r="K87" s="64">
        <f t="shared" si="10"/>
        <v>259687.8</v>
      </c>
      <c r="L87" s="7"/>
      <c r="M87" s="20"/>
    </row>
    <row r="88" spans="1:13" ht="132" customHeight="1">
      <c r="A88" s="165" t="s">
        <v>449</v>
      </c>
      <c r="B88" s="203" t="s">
        <v>191</v>
      </c>
      <c r="C88" s="312">
        <f>D88+E88+F88</f>
        <v>199207</v>
      </c>
      <c r="D88" s="311"/>
      <c r="E88" s="311"/>
      <c r="F88" s="333">
        <f>214383.2-15176.2</f>
        <v>199207</v>
      </c>
      <c r="G88" s="311"/>
      <c r="H88" s="311"/>
      <c r="I88" s="311"/>
      <c r="J88" s="311"/>
      <c r="K88" s="321">
        <f t="shared" si="10"/>
        <v>199207</v>
      </c>
      <c r="L88" s="7"/>
      <c r="M88" s="20"/>
    </row>
    <row r="89" spans="1:13" ht="220.5" customHeight="1">
      <c r="A89" s="187"/>
      <c r="B89" s="201" t="s">
        <v>104</v>
      </c>
      <c r="C89" s="312"/>
      <c r="D89" s="311"/>
      <c r="E89" s="311"/>
      <c r="F89" s="333"/>
      <c r="G89" s="311"/>
      <c r="H89" s="311"/>
      <c r="I89" s="311"/>
      <c r="J89" s="311"/>
      <c r="K89" s="321"/>
      <c r="L89" s="7"/>
      <c r="M89" s="20"/>
    </row>
    <row r="90" spans="1:13" ht="156" customHeight="1">
      <c r="A90" s="193" t="s">
        <v>450</v>
      </c>
      <c r="B90" s="204" t="s">
        <v>190</v>
      </c>
      <c r="C90" s="169">
        <f aca="true" t="shared" si="11" ref="C90:C98">D90+E90+F90</f>
        <v>76175.4</v>
      </c>
      <c r="D90" s="44"/>
      <c r="E90" s="44"/>
      <c r="F90" s="29">
        <v>76175.4</v>
      </c>
      <c r="G90" s="44"/>
      <c r="H90" s="44"/>
      <c r="I90" s="44"/>
      <c r="J90" s="44"/>
      <c r="K90" s="64">
        <f aca="true" t="shared" si="12" ref="K90:K98">C90+H90</f>
        <v>76175.4</v>
      </c>
      <c r="L90" s="7"/>
      <c r="M90" s="20"/>
    </row>
    <row r="91" spans="1:13" ht="135" customHeight="1">
      <c r="A91" s="183" t="s">
        <v>451</v>
      </c>
      <c r="B91" s="203" t="s">
        <v>191</v>
      </c>
      <c r="C91" s="190"/>
      <c r="D91" s="191"/>
      <c r="E91" s="191"/>
      <c r="F91" s="190"/>
      <c r="G91" s="191"/>
      <c r="H91" s="191"/>
      <c r="I91" s="191"/>
      <c r="J91" s="191"/>
      <c r="K91" s="192"/>
      <c r="L91" s="7"/>
      <c r="M91" s="20"/>
    </row>
    <row r="92" spans="1:13" s="20" customFormat="1" ht="216">
      <c r="A92" s="196"/>
      <c r="B92" s="202" t="s">
        <v>106</v>
      </c>
      <c r="C92" s="170">
        <f t="shared" si="11"/>
        <v>21494.7</v>
      </c>
      <c r="D92" s="170"/>
      <c r="E92" s="170"/>
      <c r="F92" s="170">
        <v>21494.7</v>
      </c>
      <c r="G92" s="170"/>
      <c r="H92" s="170"/>
      <c r="I92" s="170"/>
      <c r="J92" s="170"/>
      <c r="K92" s="189">
        <f t="shared" si="12"/>
        <v>21494.7</v>
      </c>
      <c r="L92" s="27"/>
      <c r="M92" s="28"/>
    </row>
    <row r="93" spans="1:13" s="20" customFormat="1" ht="51" hidden="1">
      <c r="A93" s="69" t="s">
        <v>452</v>
      </c>
      <c r="B93" s="70" t="s">
        <v>453</v>
      </c>
      <c r="C93" s="29">
        <f t="shared" si="11"/>
        <v>0</v>
      </c>
      <c r="D93" s="29"/>
      <c r="E93" s="29"/>
      <c r="F93" s="29"/>
      <c r="G93" s="29"/>
      <c r="H93" s="29"/>
      <c r="I93" s="29"/>
      <c r="J93" s="29"/>
      <c r="K93" s="64">
        <f t="shared" si="12"/>
        <v>0</v>
      </c>
      <c r="L93" s="27"/>
      <c r="M93" s="28"/>
    </row>
    <row r="94" spans="1:12" s="20" customFormat="1" ht="38.25" hidden="1">
      <c r="A94" s="69" t="s">
        <v>454</v>
      </c>
      <c r="B94" s="70" t="s">
        <v>455</v>
      </c>
      <c r="C94" s="29">
        <f t="shared" si="11"/>
        <v>0</v>
      </c>
      <c r="D94" s="29"/>
      <c r="E94" s="29"/>
      <c r="F94" s="29"/>
      <c r="G94" s="29"/>
      <c r="H94" s="29"/>
      <c r="I94" s="29"/>
      <c r="J94" s="29"/>
      <c r="K94" s="64">
        <f t="shared" si="12"/>
        <v>0</v>
      </c>
      <c r="L94" s="22"/>
    </row>
    <row r="95" spans="1:12" s="20" customFormat="1" ht="63.75" hidden="1">
      <c r="A95" s="69" t="s">
        <v>456</v>
      </c>
      <c r="B95" s="70" t="s">
        <v>457</v>
      </c>
      <c r="C95" s="29">
        <f t="shared" si="11"/>
        <v>0</v>
      </c>
      <c r="D95" s="29"/>
      <c r="E95" s="29"/>
      <c r="F95" s="29"/>
      <c r="G95" s="29"/>
      <c r="H95" s="29"/>
      <c r="I95" s="29"/>
      <c r="J95" s="29"/>
      <c r="K95" s="64">
        <f t="shared" si="12"/>
        <v>0</v>
      </c>
      <c r="L95" s="22"/>
    </row>
    <row r="96" spans="1:12" s="20" customFormat="1" ht="12.75">
      <c r="A96" s="69" t="s">
        <v>458</v>
      </c>
      <c r="B96" s="70" t="s">
        <v>379</v>
      </c>
      <c r="C96" s="29">
        <f t="shared" si="11"/>
        <v>2200</v>
      </c>
      <c r="D96" s="29"/>
      <c r="E96" s="29"/>
      <c r="F96" s="29">
        <f>1200+1000</f>
        <v>2200</v>
      </c>
      <c r="G96" s="29"/>
      <c r="H96" s="29"/>
      <c r="I96" s="29"/>
      <c r="J96" s="29"/>
      <c r="K96" s="64">
        <f t="shared" si="12"/>
        <v>2200</v>
      </c>
      <c r="L96" s="22"/>
    </row>
    <row r="97" spans="1:12" s="20" customFormat="1" ht="38.25" hidden="1">
      <c r="A97" s="69" t="s">
        <v>459</v>
      </c>
      <c r="B97" s="70" t="s">
        <v>460</v>
      </c>
      <c r="C97" s="29">
        <f t="shared" si="11"/>
        <v>0</v>
      </c>
      <c r="D97" s="29"/>
      <c r="E97" s="29"/>
      <c r="F97" s="29"/>
      <c r="G97" s="29"/>
      <c r="H97" s="29"/>
      <c r="I97" s="29"/>
      <c r="J97" s="29"/>
      <c r="K97" s="64">
        <f t="shared" si="12"/>
        <v>0</v>
      </c>
      <c r="L97" s="22"/>
    </row>
    <row r="98" spans="1:12" s="20" customFormat="1" ht="38.25" hidden="1">
      <c r="A98" s="69" t="s">
        <v>461</v>
      </c>
      <c r="B98" s="70" t="s">
        <v>462</v>
      </c>
      <c r="C98" s="29">
        <f t="shared" si="11"/>
        <v>0</v>
      </c>
      <c r="D98" s="29"/>
      <c r="E98" s="29"/>
      <c r="F98" s="29"/>
      <c r="G98" s="29"/>
      <c r="H98" s="29"/>
      <c r="I98" s="29"/>
      <c r="J98" s="29"/>
      <c r="K98" s="64">
        <f t="shared" si="12"/>
        <v>0</v>
      </c>
      <c r="L98" s="22"/>
    </row>
    <row r="99" spans="1:13" s="20" customFormat="1" ht="13.5" thickBot="1">
      <c r="A99" s="309" t="s">
        <v>257</v>
      </c>
      <c r="B99" s="310"/>
      <c r="C99" s="76">
        <f>C94+C92+C90+C88+C87+C85+C84+C80+C93+C96+C86+C95+C97+C98+C83+C81+C82</f>
        <v>1357936.1</v>
      </c>
      <c r="D99" s="76">
        <f>D94+D92+D90+D88+D87+D85+D84+D80+D93+D96+D86+D95+D97+D98+D83+D81+D82</f>
        <v>236991.49999999997</v>
      </c>
      <c r="E99" s="76">
        <f>E94+E92+E90+E88+E87+E85+E84+E80+E93+E96+E86+E95+E97+E98+E83+E81+E82</f>
        <v>39899.6</v>
      </c>
      <c r="F99" s="76">
        <f>F94+F92+F90+F88+F87+F85+F84+F80+F93+F96+F86+F95+F97+F98+F83+F81+F82</f>
        <v>1053622.4</v>
      </c>
      <c r="G99" s="76">
        <f>G94+G92+G90+G88+G87+G85+G84+G80+G93+G96+G86+G95+G97+G98+G83+G81+G82</f>
        <v>27422.600000000002</v>
      </c>
      <c r="H99" s="76">
        <f>H94+H92+H90+H88+H87+H85+H84+H80+H93</f>
        <v>159733.5</v>
      </c>
      <c r="I99" s="76">
        <f>I94+I92+I90+I88+I87+I85+I84+I80+I93</f>
        <v>56203.9</v>
      </c>
      <c r="J99" s="76">
        <f>J94+J92+J90+J88+J87+J85+J84+J80+J93</f>
        <v>250</v>
      </c>
      <c r="K99" s="77">
        <f>C99+H99</f>
        <v>1517669.6</v>
      </c>
      <c r="L99" s="27">
        <f>D99+E99+F99+G99</f>
        <v>1357936.1</v>
      </c>
      <c r="M99" s="28"/>
    </row>
    <row r="100" spans="2:11" ht="12.75">
      <c r="B100" s="52"/>
      <c r="C100" s="31"/>
      <c r="D100" s="31"/>
      <c r="E100" s="31"/>
      <c r="F100" s="31"/>
      <c r="G100" s="31"/>
      <c r="H100" s="31"/>
      <c r="I100" s="31"/>
      <c r="J100" s="31"/>
      <c r="K100" s="31"/>
    </row>
    <row r="101" spans="2:11" ht="12.75" hidden="1">
      <c r="B101" s="52"/>
      <c r="C101" s="78"/>
      <c r="D101" s="78"/>
      <c r="E101" s="78"/>
      <c r="F101" s="78"/>
      <c r="G101" s="78"/>
      <c r="H101" s="78"/>
      <c r="I101" s="78"/>
      <c r="J101" s="78"/>
      <c r="K101" s="78"/>
    </row>
    <row r="102" spans="2:11" ht="12.75">
      <c r="B102" s="52"/>
      <c r="C102" s="78"/>
      <c r="D102" s="78"/>
      <c r="E102" s="78"/>
      <c r="F102" s="78"/>
      <c r="G102" s="78"/>
      <c r="H102" s="78"/>
      <c r="I102" s="78"/>
      <c r="J102" s="78"/>
      <c r="K102" s="78"/>
    </row>
    <row r="103" spans="2:11" ht="12.75">
      <c r="B103" s="52"/>
      <c r="C103" s="31"/>
      <c r="D103" s="31"/>
      <c r="E103" s="31"/>
      <c r="F103" s="31"/>
      <c r="G103" s="31"/>
      <c r="H103" s="31"/>
      <c r="I103" s="31"/>
      <c r="J103" s="31"/>
      <c r="K103" s="31"/>
    </row>
    <row r="104" spans="2:9" ht="12.75">
      <c r="B104" s="52"/>
      <c r="C104" s="31"/>
      <c r="H104" s="31"/>
      <c r="I104" s="31"/>
    </row>
    <row r="105" spans="2:11" ht="12.75">
      <c r="B105" s="52"/>
      <c r="C105" s="31"/>
      <c r="D105" s="31"/>
      <c r="E105" s="31"/>
      <c r="F105" s="31"/>
      <c r="G105" s="31"/>
      <c r="H105" s="31"/>
      <c r="I105" s="31"/>
      <c r="K105" s="31"/>
    </row>
    <row r="106" spans="2:11" ht="12.75">
      <c r="B106" s="52"/>
      <c r="C106" s="31"/>
      <c r="D106" s="31"/>
      <c r="E106" s="31"/>
      <c r="F106" s="31"/>
      <c r="G106" s="31"/>
      <c r="H106" s="31"/>
      <c r="K106" s="31"/>
    </row>
    <row r="107" spans="2:3" ht="12.75">
      <c r="B107" s="52"/>
      <c r="C107" s="31"/>
    </row>
    <row r="108" ht="12.75">
      <c r="B108" s="52"/>
    </row>
    <row r="109" ht="12.75">
      <c r="B109" s="52"/>
    </row>
    <row r="110" ht="12.75">
      <c r="B110" s="52"/>
    </row>
    <row r="111" ht="12.75">
      <c r="B111" s="52"/>
    </row>
    <row r="112" ht="12.75">
      <c r="B112" s="52"/>
    </row>
    <row r="113" ht="12.75">
      <c r="B113" s="52"/>
    </row>
    <row r="114" ht="12.75">
      <c r="B114" s="52"/>
    </row>
    <row r="115" ht="12.75">
      <c r="B115" s="52"/>
    </row>
    <row r="116" ht="12.75">
      <c r="B116" s="52"/>
    </row>
    <row r="117" ht="12.75">
      <c r="B117" s="52"/>
    </row>
    <row r="118" ht="12.75">
      <c r="B118" s="52"/>
    </row>
    <row r="119" ht="12.75">
      <c r="B119" s="52"/>
    </row>
    <row r="120" ht="12.75">
      <c r="B120" s="52"/>
    </row>
    <row r="121" ht="12.75">
      <c r="B121" s="52"/>
    </row>
    <row r="122" ht="12.75">
      <c r="B122" s="52"/>
    </row>
    <row r="123" ht="12.75">
      <c r="B123" s="52"/>
    </row>
    <row r="124" ht="12.75">
      <c r="B124" s="52"/>
    </row>
    <row r="125" ht="12.75">
      <c r="B125" s="52"/>
    </row>
    <row r="126" ht="12.75">
      <c r="B126" s="52"/>
    </row>
    <row r="127" ht="12.75">
      <c r="B127" s="52"/>
    </row>
    <row r="128" ht="12.75">
      <c r="B128" s="52"/>
    </row>
    <row r="129" ht="12.75">
      <c r="B129" s="52"/>
    </row>
    <row r="130" ht="12.75">
      <c r="B130" s="52"/>
    </row>
    <row r="131" ht="12.75">
      <c r="B131" s="52"/>
    </row>
    <row r="132" ht="12.75">
      <c r="B132" s="52"/>
    </row>
    <row r="133" ht="12.75">
      <c r="B133" s="52"/>
    </row>
    <row r="134" ht="12.75">
      <c r="B134" s="52"/>
    </row>
    <row r="135" ht="12.75">
      <c r="B135" s="52"/>
    </row>
    <row r="136" ht="12.75">
      <c r="B136" s="52"/>
    </row>
    <row r="137" ht="12.75">
      <c r="B137" s="52"/>
    </row>
    <row r="138" ht="12.75">
      <c r="B138" s="52"/>
    </row>
    <row r="139" ht="12.75">
      <c r="B139" s="52"/>
    </row>
    <row r="140" ht="12.75">
      <c r="B140" s="52"/>
    </row>
    <row r="141" ht="12.75">
      <c r="B141" s="52"/>
    </row>
    <row r="142" ht="12.75">
      <c r="B142" s="52"/>
    </row>
    <row r="143" ht="12.75">
      <c r="B143" s="52"/>
    </row>
    <row r="144" ht="12.75">
      <c r="B144" s="52"/>
    </row>
    <row r="145" ht="12.75">
      <c r="B145" s="52"/>
    </row>
    <row r="146" ht="12.75">
      <c r="B146" s="52"/>
    </row>
    <row r="147" ht="12.75">
      <c r="B147" s="52"/>
    </row>
    <row r="148" ht="12.75">
      <c r="B148" s="52"/>
    </row>
    <row r="149" ht="12.75">
      <c r="B149" s="52"/>
    </row>
    <row r="150" ht="12.75">
      <c r="B150" s="52"/>
    </row>
    <row r="151" ht="12.75">
      <c r="B151" s="52"/>
    </row>
    <row r="152" ht="12.75">
      <c r="B152" s="52"/>
    </row>
    <row r="153" ht="12.75">
      <c r="B153" s="52"/>
    </row>
    <row r="154" ht="12.75">
      <c r="B154" s="52"/>
    </row>
    <row r="155" ht="12.75">
      <c r="B155" s="52"/>
    </row>
    <row r="156" ht="12.75">
      <c r="B156" s="52"/>
    </row>
    <row r="157" ht="12.75">
      <c r="B157" s="52"/>
    </row>
    <row r="158" ht="12.75">
      <c r="B158" s="52"/>
    </row>
    <row r="159" ht="12.75">
      <c r="B159" s="52"/>
    </row>
    <row r="160" ht="12.75">
      <c r="B160" s="52"/>
    </row>
    <row r="161" ht="12.75">
      <c r="B161" s="52"/>
    </row>
    <row r="162" ht="12.75">
      <c r="B162" s="52"/>
    </row>
    <row r="163" ht="12.75">
      <c r="B163" s="52"/>
    </row>
    <row r="164" ht="12.75">
      <c r="B164" s="52"/>
    </row>
    <row r="165" ht="12.75">
      <c r="B165" s="52"/>
    </row>
    <row r="166" ht="12.75">
      <c r="B166" s="52"/>
    </row>
    <row r="167" ht="12.75">
      <c r="B167" s="52"/>
    </row>
    <row r="168" ht="12.75">
      <c r="B168" s="52"/>
    </row>
    <row r="169" ht="12.75">
      <c r="B169" s="52"/>
    </row>
    <row r="170" ht="12.75">
      <c r="B170" s="52"/>
    </row>
    <row r="171" ht="12.75">
      <c r="B171" s="52"/>
    </row>
    <row r="172" ht="12.75">
      <c r="B172" s="52"/>
    </row>
    <row r="173" ht="12.75">
      <c r="B173" s="52"/>
    </row>
    <row r="174" ht="12.75">
      <c r="B174" s="52"/>
    </row>
    <row r="175" ht="12.75">
      <c r="B175" s="52"/>
    </row>
    <row r="176" ht="12.75">
      <c r="B176" s="52"/>
    </row>
    <row r="177" ht="12.75">
      <c r="B177" s="52"/>
    </row>
    <row r="178" ht="12.75">
      <c r="B178" s="52"/>
    </row>
    <row r="179" ht="12.75">
      <c r="B179" s="52"/>
    </row>
    <row r="180" ht="12.75">
      <c r="B180" s="52"/>
    </row>
    <row r="181" ht="12.75">
      <c r="B181" s="52"/>
    </row>
    <row r="182" ht="12.75">
      <c r="B182" s="52"/>
    </row>
    <row r="183" ht="12.75">
      <c r="B183" s="52"/>
    </row>
    <row r="184" ht="12.75">
      <c r="B184" s="52"/>
    </row>
    <row r="185" ht="12.75">
      <c r="B185" s="52"/>
    </row>
    <row r="186" ht="12.75">
      <c r="B186" s="52"/>
    </row>
    <row r="187" ht="12.75">
      <c r="B187" s="52"/>
    </row>
    <row r="188" ht="12.75">
      <c r="B188" s="52"/>
    </row>
    <row r="189" ht="12.75">
      <c r="B189" s="52"/>
    </row>
    <row r="190" ht="12.75">
      <c r="B190" s="52"/>
    </row>
    <row r="191" ht="12.75">
      <c r="B191" s="52"/>
    </row>
    <row r="192" ht="12.75">
      <c r="B192" s="52"/>
    </row>
    <row r="193" ht="12.75">
      <c r="B193" s="52"/>
    </row>
    <row r="194" ht="12.75">
      <c r="B194" s="52"/>
    </row>
    <row r="195" ht="12.75">
      <c r="B195" s="52"/>
    </row>
    <row r="196" ht="12.75">
      <c r="B196" s="52"/>
    </row>
    <row r="197" ht="12.75">
      <c r="B197" s="52"/>
    </row>
    <row r="198" ht="12.75">
      <c r="B198" s="52"/>
    </row>
    <row r="199" ht="12.75">
      <c r="B199" s="52"/>
    </row>
    <row r="200" ht="12.75">
      <c r="B200" s="52"/>
    </row>
    <row r="201" ht="12.75">
      <c r="B201" s="52"/>
    </row>
    <row r="202" ht="12.75">
      <c r="B202" s="52"/>
    </row>
    <row r="203" ht="12.75">
      <c r="B203" s="52"/>
    </row>
    <row r="204" ht="12.75">
      <c r="B204" s="52"/>
    </row>
    <row r="205" ht="12.75">
      <c r="B205" s="52"/>
    </row>
    <row r="206" ht="12.75">
      <c r="B206" s="52"/>
    </row>
    <row r="207" ht="12.75">
      <c r="B207" s="52"/>
    </row>
    <row r="208" ht="12.75">
      <c r="B208" s="52"/>
    </row>
    <row r="209" ht="12.75">
      <c r="B209" s="52"/>
    </row>
    <row r="210" ht="12.75">
      <c r="B210" s="52"/>
    </row>
    <row r="211" ht="12.75">
      <c r="B211" s="52"/>
    </row>
    <row r="212" ht="12.75">
      <c r="B212" s="52"/>
    </row>
    <row r="213" ht="12.75">
      <c r="B213" s="52"/>
    </row>
    <row r="214" ht="12.75">
      <c r="B214" s="52"/>
    </row>
    <row r="215" ht="12.75">
      <c r="B215" s="52"/>
    </row>
    <row r="216" ht="12.75">
      <c r="B216" s="52"/>
    </row>
    <row r="217" ht="12.75">
      <c r="B217" s="52"/>
    </row>
    <row r="218" ht="12.75">
      <c r="B218" s="52"/>
    </row>
    <row r="219" ht="12.75">
      <c r="B219" s="52"/>
    </row>
    <row r="220" ht="12.75">
      <c r="B220" s="52"/>
    </row>
    <row r="221" ht="12.75">
      <c r="B221" s="52"/>
    </row>
    <row r="222" ht="12.75">
      <c r="B222" s="52"/>
    </row>
    <row r="223" ht="12.75">
      <c r="B223" s="52"/>
    </row>
    <row r="224" ht="12.75">
      <c r="B224" s="52"/>
    </row>
    <row r="225" ht="12.75">
      <c r="B225" s="52"/>
    </row>
    <row r="226" ht="12.75">
      <c r="B226" s="52"/>
    </row>
    <row r="227" ht="12.75">
      <c r="B227" s="52"/>
    </row>
    <row r="228" ht="12.75">
      <c r="B228" s="52"/>
    </row>
    <row r="229" ht="12.75">
      <c r="B229" s="52"/>
    </row>
    <row r="230" ht="12.75">
      <c r="B230" s="52"/>
    </row>
    <row r="231" ht="12.75">
      <c r="B231" s="52"/>
    </row>
    <row r="232" ht="12.75">
      <c r="B232" s="52"/>
    </row>
    <row r="233" ht="12.75">
      <c r="B233" s="52"/>
    </row>
    <row r="234" ht="12.75">
      <c r="B234" s="52"/>
    </row>
    <row r="235" ht="12.75">
      <c r="B235" s="52"/>
    </row>
    <row r="236" ht="12.75">
      <c r="B236" s="52"/>
    </row>
    <row r="237" ht="12.75">
      <c r="B237" s="52"/>
    </row>
    <row r="238" ht="12.75">
      <c r="B238" s="52"/>
    </row>
    <row r="239" ht="12.75">
      <c r="B239" s="52"/>
    </row>
    <row r="240" ht="12.75">
      <c r="B240" s="52"/>
    </row>
    <row r="241" ht="12.75">
      <c r="B241" s="52"/>
    </row>
    <row r="242" ht="12.75">
      <c r="B242" s="52"/>
    </row>
    <row r="243" ht="12.75">
      <c r="B243" s="52"/>
    </row>
    <row r="244" ht="12.75">
      <c r="B244" s="52"/>
    </row>
    <row r="245" ht="12.75">
      <c r="B245" s="52"/>
    </row>
    <row r="246" ht="12.75">
      <c r="B246" s="52"/>
    </row>
    <row r="247" ht="12.75">
      <c r="B247" s="52"/>
    </row>
    <row r="248" ht="12.75">
      <c r="B248" s="52"/>
    </row>
    <row r="249" ht="12.75">
      <c r="B249" s="52"/>
    </row>
    <row r="250" ht="12.75">
      <c r="B250" s="52"/>
    </row>
    <row r="251" ht="12.75">
      <c r="B251" s="52"/>
    </row>
    <row r="252" ht="12.75">
      <c r="B252" s="52"/>
    </row>
    <row r="253" ht="12.75">
      <c r="B253" s="52"/>
    </row>
    <row r="254" ht="12.75">
      <c r="B254" s="52"/>
    </row>
    <row r="255" ht="12.75">
      <c r="B255" s="52"/>
    </row>
    <row r="256" ht="12.75">
      <c r="B256" s="52"/>
    </row>
    <row r="257" ht="12.75">
      <c r="B257" s="52"/>
    </row>
    <row r="258" ht="12.75">
      <c r="B258" s="52"/>
    </row>
    <row r="259" ht="12.75">
      <c r="B259" s="52"/>
    </row>
    <row r="260" ht="12.75">
      <c r="B260" s="52"/>
    </row>
    <row r="261" ht="12.75">
      <c r="B261" s="52"/>
    </row>
    <row r="262" ht="12.75">
      <c r="B262" s="52"/>
    </row>
    <row r="263" ht="12.75">
      <c r="B263" s="52"/>
    </row>
    <row r="264" ht="12.75">
      <c r="B264" s="52"/>
    </row>
    <row r="265" ht="12.75">
      <c r="B265" s="52"/>
    </row>
    <row r="266" ht="12.75">
      <c r="B266" s="52"/>
    </row>
    <row r="267" ht="12.75">
      <c r="B267" s="52"/>
    </row>
    <row r="268" ht="12.75">
      <c r="B268" s="52"/>
    </row>
    <row r="269" ht="12.75">
      <c r="B269" s="52"/>
    </row>
    <row r="270" ht="12.75">
      <c r="B270" s="52"/>
    </row>
    <row r="271" ht="12.75">
      <c r="B271" s="52"/>
    </row>
    <row r="272" ht="12.75">
      <c r="B272" s="52"/>
    </row>
    <row r="273" ht="12.75">
      <c r="B273" s="52"/>
    </row>
    <row r="274" ht="12.75">
      <c r="B274" s="52"/>
    </row>
    <row r="275" ht="12.75">
      <c r="B275" s="52"/>
    </row>
    <row r="276" ht="12.75">
      <c r="B276" s="52"/>
    </row>
    <row r="277" ht="12.75">
      <c r="B277" s="52"/>
    </row>
    <row r="278" ht="12.75">
      <c r="B278" s="52"/>
    </row>
    <row r="279" ht="12.75">
      <c r="B279" s="52"/>
    </row>
    <row r="280" ht="12.75">
      <c r="B280" s="52"/>
    </row>
    <row r="281" ht="12.75">
      <c r="B281" s="52"/>
    </row>
    <row r="282" ht="12.75">
      <c r="B282" s="52"/>
    </row>
    <row r="283" ht="12.75">
      <c r="B283" s="52"/>
    </row>
    <row r="284" ht="12.75">
      <c r="B284" s="52"/>
    </row>
    <row r="285" ht="12.75">
      <c r="B285" s="52"/>
    </row>
    <row r="286" ht="12.75">
      <c r="B286" s="52"/>
    </row>
    <row r="287" ht="12.75">
      <c r="B287" s="52"/>
    </row>
    <row r="288" ht="12.75">
      <c r="B288" s="52"/>
    </row>
    <row r="289" ht="12.75">
      <c r="B289" s="52"/>
    </row>
    <row r="290" ht="12.75">
      <c r="B290" s="52"/>
    </row>
    <row r="291" ht="12.75">
      <c r="B291" s="52"/>
    </row>
    <row r="292" ht="12.75">
      <c r="B292" s="52"/>
    </row>
    <row r="293" ht="12.75">
      <c r="B293" s="52"/>
    </row>
    <row r="294" ht="12.75">
      <c r="B294" s="52"/>
    </row>
    <row r="295" ht="12.75">
      <c r="B295" s="52"/>
    </row>
    <row r="296" ht="12.75">
      <c r="B296" s="52"/>
    </row>
    <row r="297" ht="12.75">
      <c r="B297" s="52"/>
    </row>
    <row r="298" ht="12.75">
      <c r="B298" s="52"/>
    </row>
    <row r="299" ht="12.75">
      <c r="B299" s="52"/>
    </row>
    <row r="300" ht="12.75">
      <c r="B300" s="52"/>
    </row>
    <row r="301" ht="12.75">
      <c r="B301" s="52"/>
    </row>
    <row r="302" ht="12.75">
      <c r="B302" s="52"/>
    </row>
    <row r="303" ht="12.75">
      <c r="B303" s="52"/>
    </row>
    <row r="304" ht="12.75">
      <c r="B304" s="52"/>
    </row>
    <row r="305" ht="12.75">
      <c r="B305" s="52"/>
    </row>
    <row r="306" ht="12.75">
      <c r="B306" s="52"/>
    </row>
    <row r="307" ht="12.75">
      <c r="B307" s="52"/>
    </row>
    <row r="308" ht="12.75">
      <c r="B308" s="52"/>
    </row>
    <row r="309" ht="12.75">
      <c r="B309" s="52"/>
    </row>
    <row r="310" ht="12.75">
      <c r="B310" s="52"/>
    </row>
    <row r="311" ht="12.75">
      <c r="B311" s="52"/>
    </row>
    <row r="312" ht="12.75">
      <c r="B312" s="52"/>
    </row>
    <row r="313" ht="12.75">
      <c r="B313" s="52"/>
    </row>
    <row r="314" ht="12.75">
      <c r="B314" s="52"/>
    </row>
    <row r="315" ht="12.75">
      <c r="B315" s="52"/>
    </row>
    <row r="316" ht="12.75">
      <c r="B316" s="52"/>
    </row>
    <row r="317" ht="12.75">
      <c r="B317" s="52"/>
    </row>
    <row r="318" ht="12.75">
      <c r="B318" s="52"/>
    </row>
    <row r="319" ht="12.75">
      <c r="B319" s="52"/>
    </row>
    <row r="320" ht="12.75">
      <c r="B320" s="52"/>
    </row>
    <row r="321" ht="12.75">
      <c r="B321" s="52"/>
    </row>
    <row r="322" ht="12.75">
      <c r="B322" s="52"/>
    </row>
    <row r="323" ht="12.75">
      <c r="B323" s="52"/>
    </row>
    <row r="324" ht="12.75">
      <c r="B324" s="52"/>
    </row>
    <row r="325" ht="12.75">
      <c r="B325" s="52"/>
    </row>
    <row r="326" ht="12.75">
      <c r="B326" s="52"/>
    </row>
    <row r="327" ht="12.75">
      <c r="B327" s="52"/>
    </row>
    <row r="328" ht="12.75">
      <c r="B328" s="52"/>
    </row>
    <row r="329" ht="12.75">
      <c r="B329" s="52"/>
    </row>
    <row r="330" ht="12.75">
      <c r="B330" s="52"/>
    </row>
    <row r="331" ht="12.75">
      <c r="B331" s="52"/>
    </row>
    <row r="332" ht="12.75">
      <c r="B332" s="52"/>
    </row>
    <row r="333" ht="12.75">
      <c r="B333" s="52"/>
    </row>
    <row r="334" ht="12.75">
      <c r="B334" s="52"/>
    </row>
    <row r="335" ht="12.75">
      <c r="B335" s="52"/>
    </row>
    <row r="336" ht="12.75">
      <c r="B336" s="52"/>
    </row>
    <row r="337" ht="12.75">
      <c r="B337" s="52"/>
    </row>
    <row r="338" ht="12.75">
      <c r="B338" s="52"/>
    </row>
    <row r="339" ht="12.75">
      <c r="B339" s="52"/>
    </row>
    <row r="340" ht="12.75">
      <c r="B340" s="52"/>
    </row>
    <row r="341" ht="12.75">
      <c r="B341" s="52"/>
    </row>
    <row r="342" ht="12.75">
      <c r="B342" s="52"/>
    </row>
    <row r="343" ht="12.75">
      <c r="B343" s="52"/>
    </row>
    <row r="344" ht="12.75">
      <c r="B344" s="52"/>
    </row>
    <row r="345" ht="12.75">
      <c r="B345" s="52"/>
    </row>
    <row r="346" ht="12.75">
      <c r="B346" s="52"/>
    </row>
    <row r="347" ht="12.75">
      <c r="B347" s="52"/>
    </row>
    <row r="348" ht="12.75">
      <c r="B348" s="52"/>
    </row>
    <row r="349" ht="12.75">
      <c r="B349" s="52"/>
    </row>
    <row r="350" ht="12.75">
      <c r="B350" s="52"/>
    </row>
    <row r="351" ht="12.75">
      <c r="B351" s="52"/>
    </row>
    <row r="352" ht="12.75">
      <c r="B352" s="52"/>
    </row>
    <row r="353" ht="12.75">
      <c r="B353" s="52"/>
    </row>
    <row r="354" ht="12.75">
      <c r="B354" s="52"/>
    </row>
    <row r="355" ht="12.75">
      <c r="B355" s="52"/>
    </row>
    <row r="356" ht="12.75">
      <c r="B356" s="52"/>
    </row>
    <row r="357" ht="12.75">
      <c r="B357" s="52"/>
    </row>
    <row r="358" ht="12.75">
      <c r="B358" s="52"/>
    </row>
    <row r="359" ht="12.75">
      <c r="B359" s="52"/>
    </row>
    <row r="360" ht="12.75">
      <c r="B360" s="52"/>
    </row>
    <row r="361" ht="12.75">
      <c r="B361" s="52"/>
    </row>
    <row r="362" ht="12.75">
      <c r="B362" s="52"/>
    </row>
    <row r="363" ht="12.75">
      <c r="B363" s="52"/>
    </row>
    <row r="364" ht="12.75">
      <c r="B364" s="52"/>
    </row>
    <row r="365" ht="12.75">
      <c r="B365" s="52"/>
    </row>
    <row r="366" ht="12.75">
      <c r="B366" s="52"/>
    </row>
    <row r="367" ht="12.75">
      <c r="B367" s="52"/>
    </row>
    <row r="368" ht="12.75">
      <c r="B368" s="52"/>
    </row>
    <row r="369" ht="12.75">
      <c r="B369" s="52"/>
    </row>
    <row r="370" ht="12.75">
      <c r="B370" s="52"/>
    </row>
    <row r="371" ht="12.75">
      <c r="B371" s="52"/>
    </row>
    <row r="372" ht="12.75">
      <c r="B372" s="52"/>
    </row>
    <row r="373" ht="12.75">
      <c r="B373" s="52"/>
    </row>
    <row r="374" ht="12.75">
      <c r="B374" s="52"/>
    </row>
    <row r="375" ht="12.75">
      <c r="B375" s="52"/>
    </row>
    <row r="376" ht="12.75">
      <c r="B376" s="52"/>
    </row>
    <row r="377" ht="12.75">
      <c r="B377" s="52"/>
    </row>
    <row r="378" ht="12.75">
      <c r="B378" s="52"/>
    </row>
    <row r="379" ht="12.75">
      <c r="B379" s="52"/>
    </row>
    <row r="380" ht="12.75">
      <c r="B380" s="52"/>
    </row>
    <row r="381" ht="12.75">
      <c r="B381" s="52"/>
    </row>
    <row r="382" ht="12.75">
      <c r="B382" s="52"/>
    </row>
    <row r="383" ht="12.75">
      <c r="B383" s="52"/>
    </row>
    <row r="384" ht="12.75">
      <c r="B384" s="52"/>
    </row>
    <row r="385" ht="12.75">
      <c r="B385" s="52"/>
    </row>
    <row r="386" ht="12.75">
      <c r="B386" s="52"/>
    </row>
    <row r="387" ht="12.75">
      <c r="B387" s="52"/>
    </row>
    <row r="388" ht="12.75">
      <c r="B388" s="52"/>
    </row>
    <row r="389" ht="12.75">
      <c r="B389" s="52"/>
    </row>
    <row r="390" ht="12.75">
      <c r="B390" s="52"/>
    </row>
    <row r="391" ht="12.75">
      <c r="B391" s="52"/>
    </row>
    <row r="392" ht="12.75">
      <c r="B392" s="52"/>
    </row>
    <row r="393" ht="12.75">
      <c r="B393" s="52"/>
    </row>
    <row r="394" ht="12.75">
      <c r="B394" s="52"/>
    </row>
    <row r="395" ht="12.75">
      <c r="B395" s="52"/>
    </row>
    <row r="396" ht="12.75">
      <c r="B396" s="52"/>
    </row>
    <row r="397" ht="12.75">
      <c r="B397" s="52"/>
    </row>
    <row r="398" ht="12.75">
      <c r="B398" s="52"/>
    </row>
    <row r="399" ht="12.75">
      <c r="B399" s="52"/>
    </row>
    <row r="400" ht="12.75">
      <c r="B400" s="52"/>
    </row>
    <row r="401" ht="12.75">
      <c r="B401" s="52"/>
    </row>
    <row r="402" ht="12.75">
      <c r="B402" s="52"/>
    </row>
    <row r="403" ht="12.75">
      <c r="B403" s="52"/>
    </row>
    <row r="404" ht="12.75">
      <c r="B404" s="52"/>
    </row>
    <row r="405" ht="12.75">
      <c r="B405" s="52"/>
    </row>
    <row r="406" ht="12.75">
      <c r="B406" s="52"/>
    </row>
    <row r="407" ht="12.75">
      <c r="B407" s="52"/>
    </row>
    <row r="408" ht="12.75">
      <c r="B408" s="52"/>
    </row>
    <row r="409" ht="12.75">
      <c r="B409" s="52"/>
    </row>
    <row r="410" ht="12.75">
      <c r="B410" s="52"/>
    </row>
    <row r="411" ht="12.75">
      <c r="B411" s="52"/>
    </row>
    <row r="412" ht="12.75">
      <c r="B412" s="52"/>
    </row>
    <row r="413" ht="12.75">
      <c r="B413" s="52"/>
    </row>
    <row r="414" ht="12.75">
      <c r="B414" s="52"/>
    </row>
    <row r="415" ht="12.75">
      <c r="B415" s="52"/>
    </row>
    <row r="416" ht="12.75">
      <c r="B416" s="52"/>
    </row>
    <row r="417" ht="12.75">
      <c r="B417" s="52"/>
    </row>
    <row r="418" ht="12.75">
      <c r="B418" s="52"/>
    </row>
    <row r="419" ht="12.75">
      <c r="B419" s="52"/>
    </row>
    <row r="420" ht="12.75">
      <c r="B420" s="52"/>
    </row>
    <row r="421" ht="12.75">
      <c r="B421" s="52"/>
    </row>
    <row r="422" ht="12.75">
      <c r="B422" s="52"/>
    </row>
    <row r="423" ht="12.75">
      <c r="B423" s="52"/>
    </row>
    <row r="424" ht="12.75">
      <c r="B424" s="52"/>
    </row>
    <row r="425" ht="12.75">
      <c r="B425" s="52"/>
    </row>
    <row r="426" ht="12.75">
      <c r="B426" s="52"/>
    </row>
    <row r="427" ht="12.75">
      <c r="B427" s="52"/>
    </row>
    <row r="428" ht="12.75">
      <c r="B428" s="52"/>
    </row>
    <row r="429" ht="12.75">
      <c r="B429" s="52"/>
    </row>
    <row r="430" ht="12.75">
      <c r="B430" s="52"/>
    </row>
    <row r="431" ht="12.75">
      <c r="B431" s="52"/>
    </row>
    <row r="432" ht="12.75">
      <c r="B432" s="52"/>
    </row>
    <row r="433" ht="12.75">
      <c r="B433" s="52"/>
    </row>
    <row r="434" ht="12.75">
      <c r="B434" s="52"/>
    </row>
    <row r="435" ht="12.75">
      <c r="B435" s="52"/>
    </row>
    <row r="436" ht="12.75">
      <c r="B436" s="52"/>
    </row>
    <row r="437" ht="12.75">
      <c r="B437" s="52"/>
    </row>
    <row r="438" ht="12.75">
      <c r="B438" s="52"/>
    </row>
    <row r="439" ht="12.75">
      <c r="B439" s="52"/>
    </row>
    <row r="440" ht="12.75">
      <c r="B440" s="52"/>
    </row>
    <row r="441" ht="12.75">
      <c r="B441" s="52"/>
    </row>
    <row r="442" ht="12.75">
      <c r="B442" s="52"/>
    </row>
    <row r="443" ht="12.75">
      <c r="B443" s="52"/>
    </row>
    <row r="444" ht="12.75">
      <c r="B444" s="52"/>
    </row>
    <row r="445" ht="12.75">
      <c r="B445" s="52"/>
    </row>
    <row r="446" ht="12.75">
      <c r="B446" s="52"/>
    </row>
    <row r="447" ht="12.75">
      <c r="B447" s="52"/>
    </row>
    <row r="448" ht="12.75">
      <c r="B448" s="52"/>
    </row>
    <row r="449" ht="12.75">
      <c r="B449" s="52"/>
    </row>
    <row r="450" ht="12.75">
      <c r="B450" s="52"/>
    </row>
    <row r="451" ht="12.75">
      <c r="B451" s="52"/>
    </row>
    <row r="452" ht="12.75">
      <c r="B452" s="52"/>
    </row>
    <row r="453" ht="12.75">
      <c r="B453" s="52"/>
    </row>
    <row r="454" ht="12.75">
      <c r="B454" s="52"/>
    </row>
    <row r="455" ht="12.75">
      <c r="B455" s="52"/>
    </row>
    <row r="456" ht="12.75">
      <c r="B456" s="52"/>
    </row>
    <row r="457" ht="12.75">
      <c r="B457" s="52"/>
    </row>
    <row r="458" ht="12.75">
      <c r="B458" s="52"/>
    </row>
    <row r="459" ht="12.75">
      <c r="B459" s="52"/>
    </row>
    <row r="460" ht="12.75">
      <c r="B460" s="52"/>
    </row>
    <row r="461" ht="12.75">
      <c r="B461" s="52"/>
    </row>
    <row r="462" ht="12.75">
      <c r="B462" s="52"/>
    </row>
    <row r="463" ht="12.75">
      <c r="B463" s="52"/>
    </row>
    <row r="464" ht="12.75">
      <c r="B464" s="52"/>
    </row>
    <row r="465" ht="12.75">
      <c r="B465" s="52"/>
    </row>
    <row r="466" ht="12.75">
      <c r="B466" s="52"/>
    </row>
    <row r="467" ht="12.75">
      <c r="B467" s="52"/>
    </row>
    <row r="468" ht="12.75">
      <c r="B468" s="52"/>
    </row>
    <row r="469" ht="12.75">
      <c r="B469" s="52"/>
    </row>
    <row r="470" ht="12.75">
      <c r="B470" s="52"/>
    </row>
    <row r="471" ht="12.75">
      <c r="B471" s="52"/>
    </row>
    <row r="472" ht="12.75">
      <c r="B472" s="52"/>
    </row>
    <row r="473" ht="12.75">
      <c r="B473" s="52"/>
    </row>
    <row r="474" ht="12.75">
      <c r="B474" s="52"/>
    </row>
    <row r="475" ht="12.75">
      <c r="B475" s="52"/>
    </row>
    <row r="476" ht="12.75">
      <c r="B476" s="52"/>
    </row>
    <row r="477" ht="12.75">
      <c r="B477" s="52"/>
    </row>
    <row r="478" ht="12.75">
      <c r="B478" s="52"/>
    </row>
    <row r="479" ht="12.75">
      <c r="B479" s="52"/>
    </row>
    <row r="480" ht="12.75">
      <c r="B480" s="52"/>
    </row>
    <row r="481" ht="12.75">
      <c r="B481" s="52"/>
    </row>
    <row r="482" ht="12.75">
      <c r="B482" s="52"/>
    </row>
    <row r="483" ht="12.75">
      <c r="B483" s="52"/>
    </row>
    <row r="484" ht="12.75">
      <c r="B484" s="52"/>
    </row>
    <row r="485" ht="12.75">
      <c r="B485" s="52"/>
    </row>
    <row r="486" ht="12.75">
      <c r="B486" s="52"/>
    </row>
    <row r="487" ht="12.75">
      <c r="B487" s="52"/>
    </row>
    <row r="488" ht="12.75">
      <c r="B488" s="52"/>
    </row>
  </sheetData>
  <mergeCells count="24">
    <mergeCell ref="G1:K1"/>
    <mergeCell ref="G2:K2"/>
    <mergeCell ref="G3:K3"/>
    <mergeCell ref="A6:K6"/>
    <mergeCell ref="A7:K7"/>
    <mergeCell ref="A9:A11"/>
    <mergeCell ref="B9:B11"/>
    <mergeCell ref="C9:G9"/>
    <mergeCell ref="H9:J9"/>
    <mergeCell ref="K9:K11"/>
    <mergeCell ref="C10:C11"/>
    <mergeCell ref="D10:G10"/>
    <mergeCell ref="H10:H11"/>
    <mergeCell ref="J10:J11"/>
    <mergeCell ref="K88:K89"/>
    <mergeCell ref="A99:B99"/>
    <mergeCell ref="G88:G89"/>
    <mergeCell ref="H88:H89"/>
    <mergeCell ref="I88:I89"/>
    <mergeCell ref="J88:J89"/>
    <mergeCell ref="C88:C89"/>
    <mergeCell ref="D88:D89"/>
    <mergeCell ref="E88:E89"/>
    <mergeCell ref="F88:F89"/>
  </mergeCells>
  <printOptions/>
  <pageMargins left="0.75" right="0.27" top="0.45" bottom="0.48" header="0.5" footer="0.5"/>
  <pageSetup horizontalDpi="600" verticalDpi="600" orientation="portrait" paperSize="9" scale="61" r:id="rId1"/>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BG287"/>
  <sheetViews>
    <sheetView view="pageBreakPreview" zoomScaleSheetLayoutView="100" workbookViewId="0" topLeftCell="A7">
      <pane xSplit="2" ySplit="8" topLeftCell="E28" activePane="bottomRight" state="frozen"/>
      <selection pane="topLeft" activeCell="H60" sqref="H60"/>
      <selection pane="topRight" activeCell="H60" sqref="H60"/>
      <selection pane="bottomLeft" activeCell="H60" sqref="H60"/>
      <selection pane="bottomRight" activeCell="D12" sqref="D12:G12"/>
    </sheetView>
  </sheetViews>
  <sheetFormatPr defaultColWidth="9.00390625" defaultRowHeight="12.75"/>
  <cols>
    <col min="1" max="1" width="7.625" style="59" customWidth="1"/>
    <col min="2" max="2" width="54.875" style="33" customWidth="1"/>
    <col min="3" max="3" width="13.875" style="3" customWidth="1"/>
    <col min="4" max="4" width="10.375" style="3" customWidth="1"/>
    <col min="5" max="5" width="9.125" style="3" customWidth="1"/>
    <col min="6" max="6" width="11.875" style="3" customWidth="1"/>
    <col min="7" max="7" width="10.625" style="3" bestFit="1" customWidth="1"/>
    <col min="8" max="8" width="10.00390625" style="3" customWidth="1"/>
    <col min="9" max="9" width="10.375" style="3" customWidth="1"/>
    <col min="10" max="10" width="7.00390625" style="3" customWidth="1"/>
    <col min="11" max="11" width="12.25390625" style="3" customWidth="1"/>
    <col min="12" max="12" width="13.125" style="34" customWidth="1"/>
    <col min="13" max="13" width="14.625" style="34" customWidth="1"/>
    <col min="14" max="14" width="9.375" style="34" bestFit="1" customWidth="1"/>
    <col min="15" max="59" width="8.875" style="34" customWidth="1"/>
    <col min="60" max="16384" width="8.875" style="3" customWidth="1"/>
  </cols>
  <sheetData>
    <row r="1" spans="6:11" ht="13.5" customHeight="1" hidden="1">
      <c r="F1" s="370"/>
      <c r="G1" s="370"/>
      <c r="H1" s="370"/>
      <c r="I1" s="370"/>
      <c r="J1" s="370"/>
      <c r="K1" s="370"/>
    </row>
    <row r="2" spans="6:11" ht="13.5" customHeight="1" hidden="1">
      <c r="F2" s="5"/>
      <c r="G2" s="5"/>
      <c r="H2" s="5"/>
      <c r="I2" s="5"/>
      <c r="J2" s="5"/>
      <c r="K2" s="5"/>
    </row>
    <row r="3" spans="6:11" ht="13.5" customHeight="1" hidden="1">
      <c r="F3" s="4" t="s">
        <v>258</v>
      </c>
      <c r="G3" s="4"/>
      <c r="H3" s="4"/>
      <c r="I3" s="4"/>
      <c r="J3" s="4"/>
      <c r="K3" s="4"/>
    </row>
    <row r="4" spans="5:11" ht="12.75">
      <c r="E4" s="35" t="s">
        <v>259</v>
      </c>
      <c r="G4" s="371" t="s">
        <v>260</v>
      </c>
      <c r="H4" s="371"/>
      <c r="I4" s="371"/>
      <c r="J4" s="371"/>
      <c r="K4" s="371"/>
    </row>
    <row r="5" spans="7:11" ht="12.75">
      <c r="G5" s="354" t="s">
        <v>194</v>
      </c>
      <c r="H5" s="354"/>
      <c r="I5" s="354"/>
      <c r="J5" s="354"/>
      <c r="K5" s="354"/>
    </row>
    <row r="6" spans="7:11" ht="12.75">
      <c r="G6" s="320" t="s">
        <v>114</v>
      </c>
      <c r="H6" s="320"/>
      <c r="I6" s="320"/>
      <c r="J6" s="320"/>
      <c r="K6" s="320"/>
    </row>
    <row r="7" ht="13.5" customHeight="1"/>
    <row r="8" spans="1:11" ht="15.75">
      <c r="A8" s="334" t="s">
        <v>98</v>
      </c>
      <c r="B8" s="334"/>
      <c r="C8" s="334"/>
      <c r="D8" s="334"/>
      <c r="E8" s="334"/>
      <c r="F8" s="334"/>
      <c r="G8" s="334"/>
      <c r="H8" s="334"/>
      <c r="I8" s="334"/>
      <c r="J8" s="334"/>
      <c r="K8" s="334"/>
    </row>
    <row r="9" spans="1:11" ht="15" customHeight="1">
      <c r="A9" s="334" t="s">
        <v>261</v>
      </c>
      <c r="B9" s="334"/>
      <c r="C9" s="334"/>
      <c r="D9" s="334"/>
      <c r="E9" s="334"/>
      <c r="F9" s="334"/>
      <c r="G9" s="334"/>
      <c r="H9" s="334"/>
      <c r="I9" s="334"/>
      <c r="J9" s="334"/>
      <c r="K9" s="334"/>
    </row>
    <row r="10" spans="8:11" ht="13.5" thickBot="1">
      <c r="H10" s="362" t="s">
        <v>380</v>
      </c>
      <c r="I10" s="362"/>
      <c r="J10" s="362"/>
      <c r="K10" s="362"/>
    </row>
    <row r="11" spans="1:11" ht="24.75" customHeight="1" thickBot="1">
      <c r="A11" s="335" t="s">
        <v>196</v>
      </c>
      <c r="B11" s="363" t="s">
        <v>262</v>
      </c>
      <c r="C11" s="366" t="s">
        <v>198</v>
      </c>
      <c r="D11" s="367"/>
      <c r="E11" s="367"/>
      <c r="F11" s="367"/>
      <c r="G11" s="368"/>
      <c r="H11" s="343" t="s">
        <v>199</v>
      </c>
      <c r="I11" s="344"/>
      <c r="J11" s="345"/>
      <c r="K11" s="351" t="s">
        <v>200</v>
      </c>
    </row>
    <row r="12" spans="1:11" ht="40.5" customHeight="1" thickBot="1">
      <c r="A12" s="336"/>
      <c r="B12" s="364"/>
      <c r="C12" s="358" t="s">
        <v>201</v>
      </c>
      <c r="D12" s="366" t="s">
        <v>202</v>
      </c>
      <c r="E12" s="367"/>
      <c r="F12" s="367"/>
      <c r="G12" s="368"/>
      <c r="H12" s="358" t="s">
        <v>201</v>
      </c>
      <c r="I12" s="14" t="s">
        <v>203</v>
      </c>
      <c r="J12" s="351" t="s">
        <v>204</v>
      </c>
      <c r="K12" s="369"/>
    </row>
    <row r="13" spans="1:11" ht="96" customHeight="1" thickBot="1">
      <c r="A13" s="337"/>
      <c r="B13" s="365"/>
      <c r="C13" s="359"/>
      <c r="D13" s="14" t="s">
        <v>205</v>
      </c>
      <c r="E13" s="14" t="s">
        <v>206</v>
      </c>
      <c r="F13" s="14" t="s">
        <v>207</v>
      </c>
      <c r="G13" s="14" t="s">
        <v>263</v>
      </c>
      <c r="H13" s="359"/>
      <c r="I13" s="14" t="s">
        <v>209</v>
      </c>
      <c r="J13" s="352"/>
      <c r="K13" s="352"/>
    </row>
    <row r="14" spans="1:11" ht="13.5" thickBot="1">
      <c r="A14" s="79">
        <v>1</v>
      </c>
      <c r="B14" s="80">
        <v>2</v>
      </c>
      <c r="C14" s="81">
        <v>3</v>
      </c>
      <c r="D14" s="81">
        <v>4</v>
      </c>
      <c r="E14" s="81">
        <v>5</v>
      </c>
      <c r="F14" s="81">
        <v>6</v>
      </c>
      <c r="G14" s="81">
        <v>7</v>
      </c>
      <c r="H14" s="81">
        <v>8</v>
      </c>
      <c r="I14" s="81">
        <v>9</v>
      </c>
      <c r="J14" s="81">
        <v>10</v>
      </c>
      <c r="K14" s="81">
        <v>11</v>
      </c>
    </row>
    <row r="15" spans="1:59" s="37" customFormat="1" ht="10.5" customHeight="1">
      <c r="A15" s="82"/>
      <c r="B15" s="83" t="s">
        <v>264</v>
      </c>
      <c r="C15" s="84">
        <f>C16+C18+C19+C23+C25+C28+C29+C17+C20+C21+C26+C27+C22</f>
        <v>19904.800000000003</v>
      </c>
      <c r="D15" s="84">
        <f>D16+D18+D19+D23+D25+D28+D29+D17+D20+D21+D26+D27</f>
        <v>1018.4000000000001</v>
      </c>
      <c r="E15" s="84">
        <f>E16+E18+E19+E23+E25+E28+E29+E17+E20+E21+E26+E27</f>
        <v>1080</v>
      </c>
      <c r="F15" s="84">
        <f>F16+F18+F19+F23+F25+F28+F29+F17+F20+F21+F26+F27</f>
        <v>17806.4</v>
      </c>
      <c r="G15" s="306">
        <f>G16+G18+G19+G23+G25+G28+G29+G17</f>
        <v>0</v>
      </c>
      <c r="H15" s="84">
        <f>H16+H18+H19+H23+H25+H28+H29+H24+H20+H21+30000</f>
        <v>30220</v>
      </c>
      <c r="I15" s="84">
        <f>I16+I18+I19+I23+I25+I28+I29+I24+I22</f>
        <v>30160</v>
      </c>
      <c r="J15" s="306">
        <f>J16+J18+J19+J23+J25+J28+J29</f>
        <v>0</v>
      </c>
      <c r="K15" s="85">
        <f>C15+H15</f>
        <v>50124.8</v>
      </c>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row>
    <row r="16" spans="1:59" ht="12.75">
      <c r="A16" s="63" t="s">
        <v>212</v>
      </c>
      <c r="B16" s="39" t="s">
        <v>213</v>
      </c>
      <c r="C16" s="29">
        <f>D16+E16+F16</f>
        <v>8033.5</v>
      </c>
      <c r="D16" s="24">
        <f>708.7+112.6+195.1</f>
        <v>1016.4000000000001</v>
      </c>
      <c r="E16" s="24">
        <v>1080</v>
      </c>
      <c r="F16" s="24">
        <f>5997.3-112.6+72.2-19.8</f>
        <v>5937.099999999999</v>
      </c>
      <c r="G16" s="24"/>
      <c r="H16" s="24">
        <v>60</v>
      </c>
      <c r="I16" s="24"/>
      <c r="J16" s="24"/>
      <c r="K16" s="72">
        <f aca="true" t="shared" si="0" ref="K16:K137">C16+H16</f>
        <v>8093.5</v>
      </c>
      <c r="L16" s="93">
        <f>C16</f>
        <v>8033.5</v>
      </c>
      <c r="M16" s="30">
        <f>'№2'!C14</f>
        <v>8033.5</v>
      </c>
      <c r="N16" s="93">
        <f>L16-M16</f>
        <v>0</v>
      </c>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row>
    <row r="17" spans="1:59" ht="25.5" customHeight="1">
      <c r="A17" s="63" t="s">
        <v>216</v>
      </c>
      <c r="B17" s="50" t="s">
        <v>217</v>
      </c>
      <c r="C17" s="29">
        <f>D17+E17+F17+G17</f>
        <v>5500</v>
      </c>
      <c r="D17" s="24"/>
      <c r="E17" s="24"/>
      <c r="F17" s="24">
        <v>5500</v>
      </c>
      <c r="G17" s="24"/>
      <c r="H17" s="24"/>
      <c r="I17" s="24"/>
      <c r="J17" s="24"/>
      <c r="K17" s="72">
        <f t="shared" si="0"/>
        <v>5500</v>
      </c>
      <c r="L17" s="93">
        <f>C17</f>
        <v>5500</v>
      </c>
      <c r="M17" s="30">
        <f>'№2'!C16</f>
        <v>5500</v>
      </c>
      <c r="N17" s="93">
        <f>L17-M17</f>
        <v>0</v>
      </c>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row>
    <row r="18" spans="1:59" ht="21" customHeight="1">
      <c r="A18" s="63" t="s">
        <v>265</v>
      </c>
      <c r="B18" s="39" t="s">
        <v>463</v>
      </c>
      <c r="C18" s="29">
        <f aca="true" t="shared" si="1" ref="C18:C29">D18+E18+F18+G18</f>
        <v>36</v>
      </c>
      <c r="D18" s="24"/>
      <c r="E18" s="24"/>
      <c r="F18" s="24">
        <v>36</v>
      </c>
      <c r="G18" s="24"/>
      <c r="H18" s="24"/>
      <c r="I18" s="24"/>
      <c r="J18" s="24"/>
      <c r="K18" s="72">
        <f t="shared" si="0"/>
        <v>36</v>
      </c>
      <c r="L18" s="297">
        <f>C18+C31+C40+C65+C87+C101</f>
        <v>170992.1</v>
      </c>
      <c r="M18" s="300">
        <f>'№2'!C17</f>
        <v>170992.10000000003</v>
      </c>
      <c r="N18" s="297">
        <f>L18-M18</f>
        <v>0</v>
      </c>
      <c r="O18" s="86"/>
      <c r="P18" s="86"/>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row>
    <row r="19" spans="1:59" ht="15.75" customHeight="1">
      <c r="A19" s="63" t="s">
        <v>226</v>
      </c>
      <c r="B19" s="23" t="s">
        <v>227</v>
      </c>
      <c r="C19" s="29">
        <f t="shared" si="1"/>
        <v>37</v>
      </c>
      <c r="D19" s="24"/>
      <c r="E19" s="24"/>
      <c r="F19" s="24">
        <v>37</v>
      </c>
      <c r="G19" s="24"/>
      <c r="H19" s="24"/>
      <c r="I19" s="24"/>
      <c r="J19" s="24"/>
      <c r="K19" s="72">
        <f t="shared" si="0"/>
        <v>37</v>
      </c>
      <c r="L19" s="297">
        <f>C19+C47+C48+C49+C50+C52+C53+C54+C55+C56+C57+C58+C62+C63+C66+C67+C68+C69+C70+C71+C72+C73+C152</f>
        <v>80854.8</v>
      </c>
      <c r="M19" s="87">
        <f>'№2'!C19</f>
        <v>80854.79999999997</v>
      </c>
      <c r="N19" s="87">
        <f>L19-M19</f>
        <v>0</v>
      </c>
      <c r="O19" s="87"/>
      <c r="P19" s="88"/>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row>
    <row r="20" spans="1:59" ht="12.75" hidden="1">
      <c r="A20" s="63" t="s">
        <v>464</v>
      </c>
      <c r="B20" s="23" t="s">
        <v>465</v>
      </c>
      <c r="C20" s="29">
        <f t="shared" si="1"/>
        <v>0</v>
      </c>
      <c r="D20" s="24"/>
      <c r="E20" s="24"/>
      <c r="F20" s="24"/>
      <c r="G20" s="24"/>
      <c r="H20" s="24"/>
      <c r="I20" s="24"/>
      <c r="J20" s="24"/>
      <c r="K20" s="72">
        <f t="shared" si="0"/>
        <v>0</v>
      </c>
      <c r="L20" s="86"/>
      <c r="M20" s="87"/>
      <c r="N20" s="87"/>
      <c r="O20" s="87"/>
      <c r="P20" s="88"/>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row>
    <row r="21" spans="1:59" ht="12.75">
      <c r="A21" s="63" t="s">
        <v>466</v>
      </c>
      <c r="B21" s="23" t="s">
        <v>266</v>
      </c>
      <c r="C21" s="29">
        <f t="shared" si="1"/>
        <v>5280</v>
      </c>
      <c r="D21" s="24"/>
      <c r="E21" s="24"/>
      <c r="F21" s="24">
        <f>5000+230+50</f>
        <v>5280</v>
      </c>
      <c r="G21" s="24"/>
      <c r="H21" s="24"/>
      <c r="I21" s="24"/>
      <c r="J21" s="24"/>
      <c r="K21" s="72">
        <f t="shared" si="0"/>
        <v>5280</v>
      </c>
      <c r="L21" s="297">
        <f>C21+C34+C100</f>
        <v>28239.399999999998</v>
      </c>
      <c r="M21" s="87">
        <f>'№2'!C51</f>
        <v>28239.4</v>
      </c>
      <c r="N21" s="87">
        <f>L21-M21</f>
        <v>0</v>
      </c>
      <c r="O21" s="87"/>
      <c r="P21" s="88"/>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row>
    <row r="22" spans="1:59" ht="12.75">
      <c r="A22" s="63" t="s">
        <v>11</v>
      </c>
      <c r="B22" s="23" t="s">
        <v>142</v>
      </c>
      <c r="C22" s="29">
        <f t="shared" si="1"/>
        <v>0</v>
      </c>
      <c r="D22" s="24"/>
      <c r="E22" s="24"/>
      <c r="F22" s="24"/>
      <c r="G22" s="24"/>
      <c r="H22" s="24">
        <v>30000</v>
      </c>
      <c r="I22" s="24">
        <f>H22</f>
        <v>30000</v>
      </c>
      <c r="J22" s="24"/>
      <c r="K22" s="72">
        <f t="shared" si="0"/>
        <v>30000</v>
      </c>
      <c r="L22" s="297">
        <f>H22+H104+H105+H106+H107+H42+H75</f>
        <v>56043.9</v>
      </c>
      <c r="M22" s="87">
        <f>'№2'!H52</f>
        <v>56043.9</v>
      </c>
      <c r="N22" s="87">
        <f>L22-M22</f>
        <v>0</v>
      </c>
      <c r="O22" s="87"/>
      <c r="P22" s="88"/>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row>
    <row r="23" spans="1:59" ht="25.5">
      <c r="A23" s="63">
        <v>180109</v>
      </c>
      <c r="B23" s="23" t="s">
        <v>246</v>
      </c>
      <c r="C23" s="29">
        <f t="shared" si="1"/>
        <v>734.7</v>
      </c>
      <c r="D23" s="24"/>
      <c r="E23" s="24"/>
      <c r="F23" s="24">
        <f>2400-1665.3</f>
        <v>734.7</v>
      </c>
      <c r="G23" s="24"/>
      <c r="H23" s="24"/>
      <c r="I23" s="24"/>
      <c r="J23" s="24"/>
      <c r="K23" s="72">
        <f t="shared" si="0"/>
        <v>734.7</v>
      </c>
      <c r="L23" s="297">
        <f>C23+C35+C45+C60+C93+C95+C115+C116+C118+C119+C124+C126+C135+C92</f>
        <v>3609.7000000000003</v>
      </c>
      <c r="M23" s="298">
        <f>'№2'!C62+'№2'!C63+'№2'!C64</f>
        <v>5275</v>
      </c>
      <c r="N23" s="87">
        <f>L23-M23</f>
        <v>-1665.2999999999997</v>
      </c>
      <c r="O23" s="88"/>
      <c r="P23" s="88"/>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row>
    <row r="24" spans="1:59" ht="36" customHeight="1">
      <c r="A24" s="63" t="s">
        <v>429</v>
      </c>
      <c r="B24" s="19" t="s">
        <v>430</v>
      </c>
      <c r="C24" s="29"/>
      <c r="D24" s="24"/>
      <c r="E24" s="24"/>
      <c r="F24" s="24"/>
      <c r="G24" s="24"/>
      <c r="H24" s="24">
        <f>60+100</f>
        <v>160</v>
      </c>
      <c r="I24" s="24">
        <f>H24</f>
        <v>160</v>
      </c>
      <c r="J24" s="24"/>
      <c r="K24" s="72">
        <f t="shared" si="0"/>
        <v>160</v>
      </c>
      <c r="L24" s="86"/>
      <c r="M24" s="88"/>
      <c r="N24" s="88"/>
      <c r="O24" s="88"/>
      <c r="P24" s="88"/>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row>
    <row r="25" spans="1:59" ht="13.5" customHeight="1" hidden="1">
      <c r="A25" s="69">
        <v>150101</v>
      </c>
      <c r="B25" s="19" t="s">
        <v>243</v>
      </c>
      <c r="C25" s="29">
        <f t="shared" si="1"/>
        <v>0</v>
      </c>
      <c r="D25" s="24"/>
      <c r="E25" s="24"/>
      <c r="F25" s="24"/>
      <c r="G25" s="24"/>
      <c r="H25" s="24">
        <f>I25</f>
        <v>0</v>
      </c>
      <c r="I25" s="24"/>
      <c r="J25" s="24"/>
      <c r="K25" s="72">
        <f t="shared" si="0"/>
        <v>0</v>
      </c>
      <c r="L25" s="86"/>
      <c r="M25" s="87"/>
      <c r="N25" s="87"/>
      <c r="O25" s="87"/>
      <c r="P25" s="88"/>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row>
    <row r="26" spans="1:59" ht="25.5" hidden="1">
      <c r="A26" s="69" t="s">
        <v>467</v>
      </c>
      <c r="B26" s="19" t="s">
        <v>468</v>
      </c>
      <c r="C26" s="29">
        <f t="shared" si="1"/>
        <v>0</v>
      </c>
      <c r="D26" s="24"/>
      <c r="E26" s="24"/>
      <c r="F26" s="24"/>
      <c r="G26" s="24"/>
      <c r="H26" s="24"/>
      <c r="I26" s="24"/>
      <c r="J26" s="24"/>
      <c r="K26" s="72">
        <f t="shared" si="0"/>
        <v>0</v>
      </c>
      <c r="L26" s="86"/>
      <c r="M26" s="87"/>
      <c r="N26" s="87"/>
      <c r="O26" s="87"/>
      <c r="P26" s="88"/>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row>
    <row r="27" spans="1:59" ht="12.75" hidden="1">
      <c r="A27" s="69" t="s">
        <v>433</v>
      </c>
      <c r="B27" s="19" t="s">
        <v>434</v>
      </c>
      <c r="C27" s="29">
        <f t="shared" si="1"/>
        <v>0</v>
      </c>
      <c r="D27" s="24"/>
      <c r="E27" s="24"/>
      <c r="F27" s="24"/>
      <c r="G27" s="24"/>
      <c r="H27" s="24"/>
      <c r="I27" s="24"/>
      <c r="J27" s="24"/>
      <c r="K27" s="72">
        <f t="shared" si="0"/>
        <v>0</v>
      </c>
      <c r="L27" s="86"/>
      <c r="M27" s="87"/>
      <c r="N27" s="87"/>
      <c r="O27" s="87"/>
      <c r="P27" s="88"/>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row>
    <row r="28" spans="1:59" ht="12.75">
      <c r="A28" s="63">
        <v>250404</v>
      </c>
      <c r="B28" s="39" t="s">
        <v>266</v>
      </c>
      <c r="C28" s="29">
        <f t="shared" si="1"/>
        <v>279</v>
      </c>
      <c r="D28" s="24"/>
      <c r="E28" s="24"/>
      <c r="F28" s="24">
        <v>279</v>
      </c>
      <c r="G28" s="24"/>
      <c r="H28" s="24"/>
      <c r="I28" s="24"/>
      <c r="J28" s="24"/>
      <c r="K28" s="72">
        <f t="shared" si="0"/>
        <v>279</v>
      </c>
      <c r="L28" s="93">
        <f>C28+C29+C140+C141+C142+C143+C145+C146+C147+C149+C151+C155+C139</f>
        <v>667149</v>
      </c>
      <c r="M28" s="30">
        <f>'№2'!C72+'№2'!C81+'№2'!C84+'№2'!C86+'№2'!C87+'№2'!C90+'№2'!C92+'№2'!C96+199207</f>
        <v>667149</v>
      </c>
      <c r="N28" s="93">
        <f>L28-M28</f>
        <v>0</v>
      </c>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row>
    <row r="29" spans="1:59" ht="15.75" customHeight="1">
      <c r="A29" s="63" t="s">
        <v>267</v>
      </c>
      <c r="B29" s="23" t="s">
        <v>253</v>
      </c>
      <c r="C29" s="29">
        <f t="shared" si="1"/>
        <v>4.6</v>
      </c>
      <c r="D29" s="24">
        <v>2</v>
      </c>
      <c r="E29" s="24"/>
      <c r="F29" s="24">
        <v>2.6</v>
      </c>
      <c r="G29" s="24"/>
      <c r="H29" s="24"/>
      <c r="I29" s="24"/>
      <c r="J29" s="24"/>
      <c r="K29" s="72">
        <f t="shared" si="0"/>
        <v>4.6</v>
      </c>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row>
    <row r="30" spans="1:12" s="20" customFormat="1" ht="14.25" customHeight="1">
      <c r="A30" s="61"/>
      <c r="B30" s="53" t="s">
        <v>268</v>
      </c>
      <c r="C30" s="44">
        <f aca="true" t="shared" si="2" ref="C30:K30">C31+C34+C35</f>
        <v>136859.5</v>
      </c>
      <c r="D30" s="44">
        <f t="shared" si="2"/>
        <v>51497.799999999996</v>
      </c>
      <c r="E30" s="44">
        <f t="shared" si="2"/>
        <v>8796.300000000001</v>
      </c>
      <c r="F30" s="44">
        <f t="shared" si="2"/>
        <v>73937.7</v>
      </c>
      <c r="G30" s="44">
        <f t="shared" si="2"/>
        <v>2627.7</v>
      </c>
      <c r="H30" s="44">
        <f t="shared" si="2"/>
        <v>1173.8</v>
      </c>
      <c r="I30" s="294">
        <f t="shared" si="2"/>
        <v>0</v>
      </c>
      <c r="J30" s="294">
        <f t="shared" si="2"/>
        <v>0</v>
      </c>
      <c r="K30" s="44">
        <f t="shared" si="2"/>
        <v>138033.3</v>
      </c>
      <c r="L30" s="22"/>
    </row>
    <row r="31" spans="1:59" ht="31.5" customHeight="1">
      <c r="A31" s="63" t="s">
        <v>218</v>
      </c>
      <c r="B31" s="23" t="s">
        <v>469</v>
      </c>
      <c r="C31" s="29">
        <f>D31+E31+F31+G31</f>
        <v>136316.7</v>
      </c>
      <c r="D31" s="29">
        <f>42235.1+8963</f>
        <v>51198.1</v>
      </c>
      <c r="E31" s="29">
        <v>8791.1</v>
      </c>
      <c r="F31" s="29">
        <f>43411.7+20605+9663.2+0.1+19.8</f>
        <v>73699.8</v>
      </c>
      <c r="G31" s="29">
        <v>2627.7</v>
      </c>
      <c r="H31" s="24">
        <v>1173.8</v>
      </c>
      <c r="I31" s="24"/>
      <c r="J31" s="24"/>
      <c r="K31" s="72">
        <f t="shared" si="0"/>
        <v>137490.5</v>
      </c>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row>
    <row r="32" spans="1:59" ht="18.75" customHeight="1">
      <c r="A32" s="63"/>
      <c r="B32" s="39" t="s">
        <v>470</v>
      </c>
      <c r="C32" s="29">
        <f>D32+E32+F32+G32</f>
        <v>205.1</v>
      </c>
      <c r="D32" s="24"/>
      <c r="E32" s="24"/>
      <c r="F32" s="24">
        <f>185.2+19.9</f>
        <v>205.1</v>
      </c>
      <c r="G32" s="24"/>
      <c r="H32" s="24"/>
      <c r="I32" s="24"/>
      <c r="J32" s="24"/>
      <c r="K32" s="72">
        <f>C32+H32</f>
        <v>205.1</v>
      </c>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row>
    <row r="33" spans="1:59" ht="51" customHeight="1">
      <c r="A33" s="63"/>
      <c r="B33" s="70" t="s">
        <v>0</v>
      </c>
      <c r="C33" s="29">
        <f>D33+E33+F33+G33</f>
        <v>714.4</v>
      </c>
      <c r="D33" s="24">
        <f>267.2+59.1</f>
        <v>326.3</v>
      </c>
      <c r="E33" s="24">
        <v>55.5</v>
      </c>
      <c r="F33" s="24">
        <f>310.7+21.9</f>
        <v>332.59999999999997</v>
      </c>
      <c r="G33" s="24"/>
      <c r="H33" s="24">
        <v>197</v>
      </c>
      <c r="I33" s="24"/>
      <c r="J33" s="24"/>
      <c r="K33" s="72">
        <f>C33+H33</f>
        <v>911.4</v>
      </c>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row>
    <row r="34" spans="1:59" ht="25.5" customHeight="1">
      <c r="A34" s="63">
        <v>130000</v>
      </c>
      <c r="B34" s="39" t="s">
        <v>269</v>
      </c>
      <c r="C34" s="29">
        <f>D34+E34+F34</f>
        <v>506.29999999999995</v>
      </c>
      <c r="D34" s="24">
        <f>252.3+47.4</f>
        <v>299.7</v>
      </c>
      <c r="E34" s="24">
        <v>5.2</v>
      </c>
      <c r="F34" s="24">
        <f>183.9+17.5</f>
        <v>201.4</v>
      </c>
      <c r="G34" s="24"/>
      <c r="H34" s="24"/>
      <c r="I34" s="24"/>
      <c r="J34" s="24"/>
      <c r="K34" s="72">
        <f t="shared" si="0"/>
        <v>506.29999999999995</v>
      </c>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row>
    <row r="35" spans="1:59" ht="12.75">
      <c r="A35" s="69" t="s">
        <v>183</v>
      </c>
      <c r="B35" s="23" t="s">
        <v>184</v>
      </c>
      <c r="C35" s="29">
        <f>D35+E35+F35</f>
        <v>36.5</v>
      </c>
      <c r="D35" s="24"/>
      <c r="E35" s="24"/>
      <c r="F35" s="24">
        <v>36.5</v>
      </c>
      <c r="G35" s="24"/>
      <c r="H35" s="24"/>
      <c r="I35" s="24"/>
      <c r="J35" s="24"/>
      <c r="K35" s="72">
        <f t="shared" si="0"/>
        <v>36.5</v>
      </c>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row>
    <row r="36" spans="1:59" s="20" customFormat="1" ht="12.75">
      <c r="A36" s="61"/>
      <c r="B36" s="54" t="s">
        <v>270</v>
      </c>
      <c r="C36" s="44">
        <f>C37+C40+C41+C43+C44+C45</f>
        <v>326752.39999999997</v>
      </c>
      <c r="D36" s="44">
        <f>D37+D40+D41+D43+D38+D44+D45</f>
        <v>144195</v>
      </c>
      <c r="E36" s="44">
        <f>E37+E40+E41+E43+E38+E44+E45</f>
        <v>21599.699999999997</v>
      </c>
      <c r="F36" s="44">
        <f>F37+F40+F41+F43+F38+F44+F45</f>
        <v>152617.2</v>
      </c>
      <c r="G36" s="44">
        <f>G37+G40+G41+G43+G44+G45</f>
        <v>8340.5</v>
      </c>
      <c r="H36" s="44">
        <f>H37+H40+H41+H43+H38+H44+H45+H42</f>
        <v>13282.7</v>
      </c>
      <c r="I36" s="44">
        <f>I37+I40+I41+I43+I38+I44+I45+I42</f>
        <v>500</v>
      </c>
      <c r="J36" s="294">
        <f>J37+J40+J41+J43+J38+J44+J45</f>
        <v>0</v>
      </c>
      <c r="K36" s="89">
        <f>C36+H36</f>
        <v>340035.1</v>
      </c>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row>
    <row r="37" spans="1:59" ht="40.5" customHeight="1">
      <c r="A37" s="63" t="s">
        <v>220</v>
      </c>
      <c r="B37" s="39" t="s">
        <v>1</v>
      </c>
      <c r="C37" s="29">
        <f>D37+E37+F37+G37</f>
        <v>315152.2</v>
      </c>
      <c r="D37" s="24">
        <f>119605+19705</f>
        <v>139310</v>
      </c>
      <c r="E37" s="24">
        <f>21118.1+24.6</f>
        <v>21142.699999999997</v>
      </c>
      <c r="F37" s="24">
        <f>124032+11840-24.6+10511.6</f>
        <v>146359</v>
      </c>
      <c r="G37" s="24">
        <f>G38</f>
        <v>8340.5</v>
      </c>
      <c r="H37" s="24">
        <v>9769.4</v>
      </c>
      <c r="I37" s="24"/>
      <c r="J37" s="24"/>
      <c r="K37" s="72">
        <f t="shared" si="0"/>
        <v>324921.60000000003</v>
      </c>
      <c r="L37" s="93">
        <f>C37+C102</f>
        <v>315656.7</v>
      </c>
      <c r="M37" s="299">
        <f>'№2'!C18</f>
        <v>315656.7</v>
      </c>
      <c r="N37" s="93">
        <f>L37-M37</f>
        <v>0</v>
      </c>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row>
    <row r="38" spans="1:59" ht="24" customHeight="1">
      <c r="A38" s="63"/>
      <c r="B38" s="23" t="s">
        <v>2</v>
      </c>
      <c r="C38" s="29">
        <f>D38+E38+F38+G38</f>
        <v>8340.5</v>
      </c>
      <c r="D38" s="24"/>
      <c r="E38" s="24"/>
      <c r="F38" s="24"/>
      <c r="G38" s="24">
        <f>8254.7+85.8</f>
        <v>8340.5</v>
      </c>
      <c r="H38" s="24"/>
      <c r="I38" s="24"/>
      <c r="J38" s="24"/>
      <c r="K38" s="72">
        <f t="shared" si="0"/>
        <v>8340.5</v>
      </c>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row>
    <row r="39" spans="1:59" ht="12.75">
      <c r="A39" s="63"/>
      <c r="B39" s="39" t="s">
        <v>187</v>
      </c>
      <c r="C39" s="29">
        <f aca="true" t="shared" si="3" ref="C39:C45">D39+E39+F39</f>
        <v>9344</v>
      </c>
      <c r="D39" s="24"/>
      <c r="E39" s="24"/>
      <c r="F39" s="24">
        <f>9339+5</f>
        <v>9344</v>
      </c>
      <c r="G39" s="24"/>
      <c r="H39" s="24"/>
      <c r="I39" s="24"/>
      <c r="J39" s="24"/>
      <c r="K39" s="72">
        <f t="shared" si="0"/>
        <v>9344</v>
      </c>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row>
    <row r="40" spans="1:59" ht="38.25">
      <c r="A40" s="63" t="s">
        <v>218</v>
      </c>
      <c r="B40" s="39" t="s">
        <v>3</v>
      </c>
      <c r="C40" s="29">
        <f t="shared" si="3"/>
        <v>10759.3</v>
      </c>
      <c r="D40" s="24">
        <f>3891.1+824.2</f>
        <v>4715.3</v>
      </c>
      <c r="E40" s="24">
        <v>441</v>
      </c>
      <c r="F40" s="24">
        <f>4826.9+776.1</f>
        <v>5603</v>
      </c>
      <c r="G40" s="24"/>
      <c r="H40" s="24">
        <v>3013.3</v>
      </c>
      <c r="I40" s="24"/>
      <c r="J40" s="24"/>
      <c r="K40" s="72">
        <f t="shared" si="0"/>
        <v>13772.599999999999</v>
      </c>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row>
    <row r="41" spans="1:59" ht="12.75">
      <c r="A41" s="63">
        <v>110201</v>
      </c>
      <c r="B41" s="39" t="s">
        <v>271</v>
      </c>
      <c r="C41" s="29">
        <f t="shared" si="3"/>
        <v>471.80000000000007</v>
      </c>
      <c r="D41" s="24">
        <f>147.8+21.9</f>
        <v>169.70000000000002</v>
      </c>
      <c r="E41" s="24">
        <f>12.5+3.5</f>
        <v>16</v>
      </c>
      <c r="F41" s="24">
        <f>281.5-3.5+8.1</f>
        <v>286.1</v>
      </c>
      <c r="G41" s="24"/>
      <c r="H41" s="24"/>
      <c r="I41" s="24"/>
      <c r="J41" s="24"/>
      <c r="K41" s="72">
        <f t="shared" si="0"/>
        <v>471.80000000000007</v>
      </c>
      <c r="L41" s="93">
        <f>C41+C74+C77+C84+C85+C86+C89</f>
        <v>32694.6</v>
      </c>
      <c r="M41" s="30">
        <f>'№2'!C44</f>
        <v>32694.6</v>
      </c>
      <c r="N41" s="93">
        <f>L41-M41</f>
        <v>0</v>
      </c>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row>
    <row r="42" spans="1:59" ht="12.75">
      <c r="A42" s="63" t="s">
        <v>11</v>
      </c>
      <c r="B42" s="19" t="s">
        <v>243</v>
      </c>
      <c r="C42" s="29"/>
      <c r="D42" s="24"/>
      <c r="E42" s="24"/>
      <c r="F42" s="24"/>
      <c r="G42" s="24"/>
      <c r="H42" s="24">
        <f>I42</f>
        <v>500</v>
      </c>
      <c r="I42" s="24">
        <v>500</v>
      </c>
      <c r="J42" s="24"/>
      <c r="K42" s="72">
        <f>C42+H42</f>
        <v>500</v>
      </c>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row>
    <row r="43" spans="1:13" s="20" customFormat="1" ht="25.5" hidden="1">
      <c r="A43" s="69" t="s">
        <v>420</v>
      </c>
      <c r="B43" s="70" t="s">
        <v>421</v>
      </c>
      <c r="C43" s="29">
        <f t="shared" si="3"/>
        <v>0</v>
      </c>
      <c r="D43" s="29"/>
      <c r="E43" s="29"/>
      <c r="F43" s="29"/>
      <c r="G43" s="29"/>
      <c r="H43" s="29">
        <f>I43</f>
        <v>0</v>
      </c>
      <c r="I43" s="29"/>
      <c r="J43" s="29"/>
      <c r="K43" s="72">
        <f t="shared" si="0"/>
        <v>0</v>
      </c>
      <c r="L43" s="27"/>
      <c r="M43" s="28"/>
    </row>
    <row r="44" spans="1:13" s="20" customFormat="1" ht="12.75" hidden="1">
      <c r="A44" s="69" t="s">
        <v>424</v>
      </c>
      <c r="B44" s="19" t="s">
        <v>425</v>
      </c>
      <c r="C44" s="29">
        <f t="shared" si="3"/>
        <v>0</v>
      </c>
      <c r="D44" s="29"/>
      <c r="E44" s="29"/>
      <c r="F44" s="29"/>
      <c r="G44" s="29"/>
      <c r="H44" s="29">
        <f>I44</f>
        <v>0</v>
      </c>
      <c r="I44" s="29"/>
      <c r="J44" s="29"/>
      <c r="K44" s="72">
        <f t="shared" si="0"/>
        <v>0</v>
      </c>
      <c r="L44" s="27"/>
      <c r="M44" s="28"/>
    </row>
    <row r="45" spans="1:13" s="20" customFormat="1" ht="12.75">
      <c r="A45" s="69" t="s">
        <v>183</v>
      </c>
      <c r="B45" s="23" t="s">
        <v>184</v>
      </c>
      <c r="C45" s="29">
        <f t="shared" si="3"/>
        <v>369.1</v>
      </c>
      <c r="D45" s="29"/>
      <c r="E45" s="29"/>
      <c r="F45" s="29">
        <v>369.1</v>
      </c>
      <c r="G45" s="29"/>
      <c r="H45" s="29">
        <f>I45</f>
        <v>0</v>
      </c>
      <c r="I45" s="29"/>
      <c r="J45" s="29"/>
      <c r="K45" s="72">
        <f t="shared" si="0"/>
        <v>369.1</v>
      </c>
      <c r="L45" s="27"/>
      <c r="M45" s="28"/>
    </row>
    <row r="46" spans="1:59" s="20" customFormat="1" ht="15.75" customHeight="1">
      <c r="A46" s="61"/>
      <c r="B46" s="54" t="s">
        <v>4</v>
      </c>
      <c r="C46" s="44">
        <f>C47+C48+C49+C50+C54+C55+C56+C57+C58+C59+C52+C53+C60</f>
        <v>63975.700000000004</v>
      </c>
      <c r="D46" s="44">
        <f>D47+D48+D49+D50+D54+D55+D56+D57+D58+D59+D52+D53+D60</f>
        <v>21895.2</v>
      </c>
      <c r="E46" s="44">
        <f>E47+E48+E49+E50+E54+E55+E56+E57+E58+E59+E52+E53+E60</f>
        <v>6099.200000000001</v>
      </c>
      <c r="F46" s="44">
        <f>F47+F48+F49+F50+F54+F55+F56+F57+F58+F59+F52+F53+F60</f>
        <v>35981.299999999996</v>
      </c>
      <c r="G46" s="294">
        <f>G47+G48+G49+G50+G54+G55+G56+G57+G58+G59+G52+G53</f>
        <v>0</v>
      </c>
      <c r="H46" s="44">
        <f>H47+H48+H49+H50+H54+H55+H56+H57+H58+H59+H52+H53</f>
        <v>8664</v>
      </c>
      <c r="I46" s="294">
        <f>I47+I48+I49+I50+I54+I55+I56+I57+I58+I59+I52+I53</f>
        <v>0</v>
      </c>
      <c r="J46" s="44"/>
      <c r="K46" s="89">
        <f>C46+H46</f>
        <v>72639.70000000001</v>
      </c>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row>
    <row r="47" spans="1:59" ht="15" customHeight="1">
      <c r="A47" s="63" t="s">
        <v>224</v>
      </c>
      <c r="B47" s="23" t="s">
        <v>225</v>
      </c>
      <c r="C47" s="29">
        <f>D47+E47+F47</f>
        <v>2.4</v>
      </c>
      <c r="D47" s="24"/>
      <c r="E47" s="24"/>
      <c r="F47" s="24">
        <v>2.4</v>
      </c>
      <c r="G47" s="24"/>
      <c r="H47" s="24"/>
      <c r="I47" s="24"/>
      <c r="J47" s="24"/>
      <c r="K47" s="72">
        <f t="shared" si="0"/>
        <v>2.4</v>
      </c>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row>
    <row r="48" spans="1:59" ht="12.75">
      <c r="A48" s="63" t="s">
        <v>385</v>
      </c>
      <c r="B48" s="19" t="s">
        <v>386</v>
      </c>
      <c r="C48" s="29">
        <f>D48+E48+F48</f>
        <v>9671.099999999999</v>
      </c>
      <c r="D48" s="24">
        <f>3419.4+49.4+570.9</f>
        <v>4039.7000000000003</v>
      </c>
      <c r="E48" s="24">
        <v>841.3</v>
      </c>
      <c r="F48" s="24">
        <f>4060.5+518.4+211.2</f>
        <v>4790.099999999999</v>
      </c>
      <c r="G48" s="24"/>
      <c r="H48" s="24">
        <v>596</v>
      </c>
      <c r="I48" s="24"/>
      <c r="J48" s="24"/>
      <c r="K48" s="72">
        <f t="shared" si="0"/>
        <v>10267.099999999999</v>
      </c>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row>
    <row r="49" spans="1:59" ht="25.5">
      <c r="A49" s="63" t="s">
        <v>387</v>
      </c>
      <c r="B49" s="19" t="s">
        <v>388</v>
      </c>
      <c r="C49" s="29">
        <f>D49+E49+F49+G49</f>
        <v>46249.2</v>
      </c>
      <c r="D49" s="24">
        <f>13780.4+497.5+2365.5+0.4</f>
        <v>16643.800000000003</v>
      </c>
      <c r="E49" s="24">
        <v>5196.6</v>
      </c>
      <c r="F49" s="24">
        <f>20547.7+2985.6+875.3+0.2</f>
        <v>24408.8</v>
      </c>
      <c r="G49" s="24"/>
      <c r="H49" s="24">
        <v>7650</v>
      </c>
      <c r="I49" s="24"/>
      <c r="J49" s="24"/>
      <c r="K49" s="72">
        <f t="shared" si="0"/>
        <v>53899.2</v>
      </c>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row>
    <row r="50" spans="1:59" ht="14.25" customHeight="1">
      <c r="A50" s="63" t="s">
        <v>226</v>
      </c>
      <c r="B50" s="23" t="s">
        <v>227</v>
      </c>
      <c r="C50" s="29">
        <f>D50+E50+F50+G50</f>
        <v>1154.5</v>
      </c>
      <c r="D50" s="24"/>
      <c r="E50" s="24"/>
      <c r="F50" s="24">
        <v>1154.5</v>
      </c>
      <c r="G50" s="24"/>
      <c r="H50" s="24">
        <v>205</v>
      </c>
      <c r="I50" s="24"/>
      <c r="J50" s="24"/>
      <c r="K50" s="72">
        <f t="shared" si="0"/>
        <v>1359.5</v>
      </c>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row>
    <row r="51" spans="1:59" ht="44.25" customHeight="1">
      <c r="A51" s="63"/>
      <c r="B51" s="90" t="s">
        <v>272</v>
      </c>
      <c r="C51" s="29">
        <v>720</v>
      </c>
      <c r="D51" s="24"/>
      <c r="E51" s="24"/>
      <c r="F51" s="24">
        <v>720</v>
      </c>
      <c r="G51" s="24"/>
      <c r="H51" s="24"/>
      <c r="I51" s="24"/>
      <c r="J51" s="24"/>
      <c r="K51" s="72">
        <f t="shared" si="0"/>
        <v>720</v>
      </c>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row>
    <row r="52" spans="1:59" ht="14.25" customHeight="1">
      <c r="A52" s="63" t="s">
        <v>383</v>
      </c>
      <c r="B52" s="19" t="s">
        <v>384</v>
      </c>
      <c r="C52" s="29">
        <f>D52+E52+F52</f>
        <v>1408.4</v>
      </c>
      <c r="D52" s="29"/>
      <c r="E52" s="29"/>
      <c r="F52" s="29">
        <v>1408.4</v>
      </c>
      <c r="G52" s="29"/>
      <c r="H52" s="29"/>
      <c r="I52" s="29"/>
      <c r="J52" s="29"/>
      <c r="K52" s="64">
        <f t="shared" si="0"/>
        <v>1408.4</v>
      </c>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row>
    <row r="53" spans="1:59" ht="15" customHeight="1">
      <c r="A53" s="63" t="s">
        <v>30</v>
      </c>
      <c r="B53" s="19" t="s">
        <v>92</v>
      </c>
      <c r="C53" s="29">
        <f>D53+E53+F53</f>
        <v>175</v>
      </c>
      <c r="D53" s="29"/>
      <c r="E53" s="29"/>
      <c r="F53" s="29">
        <v>175</v>
      </c>
      <c r="G53" s="29"/>
      <c r="H53" s="29"/>
      <c r="I53" s="29"/>
      <c r="J53" s="29"/>
      <c r="K53" s="64">
        <f t="shared" si="0"/>
        <v>175</v>
      </c>
      <c r="L53" s="7"/>
      <c r="M53" s="20"/>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row>
    <row r="54" spans="1:59" ht="25.5">
      <c r="A54" s="63" t="s">
        <v>228</v>
      </c>
      <c r="B54" s="23" t="s">
        <v>273</v>
      </c>
      <c r="C54" s="29">
        <f aca="true" t="shared" si="4" ref="C54:C75">D54+E54+F54</f>
        <v>1674.5</v>
      </c>
      <c r="D54" s="24"/>
      <c r="E54" s="24"/>
      <c r="F54" s="24">
        <f>1437.5+237</f>
        <v>1674.5</v>
      </c>
      <c r="G54" s="24"/>
      <c r="H54" s="24"/>
      <c r="I54" s="24"/>
      <c r="J54" s="24"/>
      <c r="K54" s="72">
        <f t="shared" si="0"/>
        <v>1674.5</v>
      </c>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row>
    <row r="55" spans="1:59" ht="53.25" customHeight="1">
      <c r="A55" s="63" t="s">
        <v>230</v>
      </c>
      <c r="B55" s="23" t="s">
        <v>403</v>
      </c>
      <c r="C55" s="29">
        <f t="shared" si="4"/>
        <v>500</v>
      </c>
      <c r="D55" s="24"/>
      <c r="E55" s="24"/>
      <c r="F55" s="24">
        <v>500</v>
      </c>
      <c r="G55" s="24"/>
      <c r="H55" s="24"/>
      <c r="I55" s="24"/>
      <c r="J55" s="24"/>
      <c r="K55" s="72">
        <f t="shared" si="0"/>
        <v>500</v>
      </c>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row>
    <row r="56" spans="1:59" ht="25.5">
      <c r="A56" s="63" t="s">
        <v>231</v>
      </c>
      <c r="B56" s="39" t="s">
        <v>232</v>
      </c>
      <c r="C56" s="29">
        <f t="shared" si="4"/>
        <v>136.8</v>
      </c>
      <c r="D56" s="24"/>
      <c r="E56" s="24"/>
      <c r="F56" s="24">
        <v>136.8</v>
      </c>
      <c r="G56" s="24"/>
      <c r="H56" s="24"/>
      <c r="I56" s="24"/>
      <c r="J56" s="24"/>
      <c r="K56" s="72">
        <f t="shared" si="0"/>
        <v>136.8</v>
      </c>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row>
    <row r="57" spans="1:59" ht="25.5">
      <c r="A57" s="63" t="s">
        <v>404</v>
      </c>
      <c r="B57" s="19" t="s">
        <v>405</v>
      </c>
      <c r="C57" s="29">
        <f t="shared" si="4"/>
        <v>20.9</v>
      </c>
      <c r="D57" s="24">
        <f>10.2+5.3-0.4</f>
        <v>15.1</v>
      </c>
      <c r="E57" s="24"/>
      <c r="F57" s="24">
        <f>4+2-0.2</f>
        <v>5.8</v>
      </c>
      <c r="G57" s="24"/>
      <c r="H57" s="24"/>
      <c r="I57" s="24"/>
      <c r="J57" s="24"/>
      <c r="K57" s="72">
        <f t="shared" si="0"/>
        <v>20.9</v>
      </c>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row>
    <row r="58" spans="1:59" ht="30" customHeight="1">
      <c r="A58" s="63" t="s">
        <v>233</v>
      </c>
      <c r="B58" s="23" t="s">
        <v>408</v>
      </c>
      <c r="C58" s="29">
        <f t="shared" si="4"/>
        <v>2951.4</v>
      </c>
      <c r="D58" s="24">
        <f>1027.9+168.7</f>
        <v>1196.6000000000001</v>
      </c>
      <c r="E58" s="24">
        <v>61.3</v>
      </c>
      <c r="F58" s="24">
        <f>1631.1+62.4</f>
        <v>1693.5</v>
      </c>
      <c r="G58" s="24"/>
      <c r="H58" s="24">
        <v>213</v>
      </c>
      <c r="I58" s="24"/>
      <c r="J58" s="24"/>
      <c r="K58" s="72">
        <f t="shared" si="0"/>
        <v>3164.4</v>
      </c>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row>
    <row r="59" spans="1:59" ht="12.75" hidden="1">
      <c r="A59" s="63" t="s">
        <v>285</v>
      </c>
      <c r="B59" s="91"/>
      <c r="C59" s="29">
        <f t="shared" si="4"/>
        <v>0</v>
      </c>
      <c r="D59" s="29"/>
      <c r="E59" s="29"/>
      <c r="F59" s="29"/>
      <c r="G59" s="29"/>
      <c r="H59" s="29"/>
      <c r="I59" s="29"/>
      <c r="J59" s="29"/>
      <c r="K59" s="72">
        <f>C59+H59</f>
        <v>0</v>
      </c>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row>
    <row r="60" spans="1:59" ht="12.75">
      <c r="A60" s="69" t="s">
        <v>183</v>
      </c>
      <c r="B60" s="23" t="s">
        <v>184</v>
      </c>
      <c r="C60" s="29">
        <f t="shared" si="4"/>
        <v>31.5</v>
      </c>
      <c r="D60" s="29"/>
      <c r="E60" s="29"/>
      <c r="F60" s="29">
        <v>31.5</v>
      </c>
      <c r="G60" s="29"/>
      <c r="H60" s="29"/>
      <c r="I60" s="29"/>
      <c r="J60" s="29"/>
      <c r="K60" s="72">
        <f>C60+H60</f>
        <v>31.5</v>
      </c>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row>
    <row r="61" spans="1:59" ht="15" customHeight="1">
      <c r="A61" s="61"/>
      <c r="B61" s="55" t="s">
        <v>274</v>
      </c>
      <c r="C61" s="44">
        <f>C62+C63</f>
        <v>7120</v>
      </c>
      <c r="D61" s="44">
        <f>D62+D63</f>
        <v>2766.9</v>
      </c>
      <c r="E61" s="44">
        <f>E62+E63</f>
        <v>553.8</v>
      </c>
      <c r="F61" s="44">
        <f>F62+F63</f>
        <v>3799.3</v>
      </c>
      <c r="G61" s="294">
        <f>G62</f>
        <v>0</v>
      </c>
      <c r="H61" s="294">
        <f>H62</f>
        <v>0</v>
      </c>
      <c r="I61" s="294">
        <f>I62</f>
        <v>0</v>
      </c>
      <c r="J61" s="294">
        <f>J62</f>
        <v>0</v>
      </c>
      <c r="K61" s="89">
        <f>C61+H61</f>
        <v>7120</v>
      </c>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row>
    <row r="62" spans="1:59" ht="12.75">
      <c r="A62" s="63" t="s">
        <v>234</v>
      </c>
      <c r="B62" s="39" t="s">
        <v>235</v>
      </c>
      <c r="C62" s="29">
        <f t="shared" si="4"/>
        <v>6920</v>
      </c>
      <c r="D62" s="24">
        <f>2418.5+348.4</f>
        <v>2766.9</v>
      </c>
      <c r="E62" s="24">
        <v>553.8</v>
      </c>
      <c r="F62" s="24">
        <f>3470.4+128.9</f>
        <v>3599.3</v>
      </c>
      <c r="G62" s="24"/>
      <c r="H62" s="24"/>
      <c r="I62" s="24"/>
      <c r="J62" s="24"/>
      <c r="K62" s="72">
        <f t="shared" si="0"/>
        <v>6920</v>
      </c>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row>
    <row r="63" spans="1:59" ht="12.75">
      <c r="A63" s="238" t="s">
        <v>181</v>
      </c>
      <c r="B63" s="232" t="s">
        <v>180</v>
      </c>
      <c r="C63" s="29">
        <f t="shared" si="4"/>
        <v>200</v>
      </c>
      <c r="D63" s="24"/>
      <c r="E63" s="24"/>
      <c r="F63" s="24">
        <v>200</v>
      </c>
      <c r="G63" s="24"/>
      <c r="H63" s="24"/>
      <c r="I63" s="24"/>
      <c r="J63" s="24"/>
      <c r="K63" s="72">
        <f t="shared" si="0"/>
        <v>200</v>
      </c>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row>
    <row r="64" spans="1:11" ht="12.75">
      <c r="A64" s="61"/>
      <c r="B64" s="55" t="s">
        <v>5</v>
      </c>
      <c r="C64" s="44">
        <f>D64+E64+F64+G64</f>
        <v>6868.3</v>
      </c>
      <c r="D64" s="44">
        <f>D65+D66+D67+D68+D69+D70+D71+D72+D73+D74</f>
        <v>802.1</v>
      </c>
      <c r="E64" s="44">
        <f>E65+E66+E67+E68+E69+E70+E71+E72+E73+E74</f>
        <v>98.9</v>
      </c>
      <c r="F64" s="44">
        <f>F65+F66+F67+F68+F69+F70+F71+F72+F73+F74+F75</f>
        <v>4410.8</v>
      </c>
      <c r="G64" s="44">
        <f>G65+G66+G67+G68+G69+G70+G71+G72+G73+G74</f>
        <v>1556.5</v>
      </c>
      <c r="H64" s="44">
        <f>H65+H66+H67+H68+H69+H70+H71+H72+H73+H74+H75</f>
        <v>300</v>
      </c>
      <c r="I64" s="44">
        <f>I65+I66+I67+I68+I69+I70+I71+I72+I73+I74+I75</f>
        <v>300</v>
      </c>
      <c r="J64" s="26"/>
      <c r="K64" s="89">
        <f>C64+H64</f>
        <v>7168.3</v>
      </c>
    </row>
    <row r="65" spans="1:59" ht="38.25">
      <c r="A65" s="63" t="s">
        <v>6</v>
      </c>
      <c r="B65" s="39" t="s">
        <v>7</v>
      </c>
      <c r="C65" s="29">
        <f>D65+E65+F65+G65</f>
        <v>4251.5</v>
      </c>
      <c r="D65" s="29"/>
      <c r="E65" s="29"/>
      <c r="F65" s="29">
        <v>2695</v>
      </c>
      <c r="G65" s="24">
        <v>1556.5</v>
      </c>
      <c r="H65" s="24"/>
      <c r="I65" s="24"/>
      <c r="J65" s="24"/>
      <c r="K65" s="72">
        <f t="shared" si="0"/>
        <v>4251.5</v>
      </c>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row>
    <row r="66" spans="1:59" ht="18" customHeight="1">
      <c r="A66" s="63" t="s">
        <v>389</v>
      </c>
      <c r="B66" s="19" t="s">
        <v>390</v>
      </c>
      <c r="C66" s="29">
        <f t="shared" si="4"/>
        <v>461.20000000000005</v>
      </c>
      <c r="D66" s="29">
        <f>212.1+76.2</f>
        <v>288.3</v>
      </c>
      <c r="E66" s="29">
        <v>12.6</v>
      </c>
      <c r="F66" s="29">
        <f>132.1+28.2</f>
        <v>160.29999999999998</v>
      </c>
      <c r="G66" s="24"/>
      <c r="H66" s="24"/>
      <c r="I66" s="24"/>
      <c r="J66" s="24"/>
      <c r="K66" s="72">
        <f t="shared" si="0"/>
        <v>461.20000000000005</v>
      </c>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row>
    <row r="67" spans="1:59" ht="25.5">
      <c r="A67" s="63" t="s">
        <v>391</v>
      </c>
      <c r="B67" s="19" t="s">
        <v>392</v>
      </c>
      <c r="C67" s="29">
        <f t="shared" si="4"/>
        <v>111.3</v>
      </c>
      <c r="D67" s="29"/>
      <c r="E67" s="29">
        <v>13.8</v>
      </c>
      <c r="F67" s="29">
        <v>97.5</v>
      </c>
      <c r="G67" s="24"/>
      <c r="H67" s="24"/>
      <c r="I67" s="24"/>
      <c r="J67" s="24"/>
      <c r="K67" s="72">
        <f t="shared" si="0"/>
        <v>111.3</v>
      </c>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row>
    <row r="68" spans="1:59" ht="25.5">
      <c r="A68" s="63" t="s">
        <v>393</v>
      </c>
      <c r="B68" s="19" t="s">
        <v>8</v>
      </c>
      <c r="C68" s="29">
        <f t="shared" si="4"/>
        <v>450</v>
      </c>
      <c r="D68" s="29"/>
      <c r="E68" s="29"/>
      <c r="F68" s="29">
        <v>450</v>
      </c>
      <c r="G68" s="24"/>
      <c r="H68" s="24"/>
      <c r="I68" s="24"/>
      <c r="J68" s="24"/>
      <c r="K68" s="72">
        <f t="shared" si="0"/>
        <v>450</v>
      </c>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row>
    <row r="69" spans="1:59" ht="25.5">
      <c r="A69" s="63" t="s">
        <v>395</v>
      </c>
      <c r="B69" s="19" t="s">
        <v>396</v>
      </c>
      <c r="C69" s="29">
        <f t="shared" si="4"/>
        <v>30</v>
      </c>
      <c r="D69" s="29"/>
      <c r="E69" s="29"/>
      <c r="F69" s="29">
        <v>30</v>
      </c>
      <c r="G69" s="24"/>
      <c r="H69" s="24"/>
      <c r="I69" s="24"/>
      <c r="J69" s="24"/>
      <c r="K69" s="72">
        <f t="shared" si="0"/>
        <v>30</v>
      </c>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row>
    <row r="70" spans="1:59" ht="15" customHeight="1">
      <c r="A70" s="63" t="s">
        <v>397</v>
      </c>
      <c r="B70" s="19" t="s">
        <v>398</v>
      </c>
      <c r="C70" s="29">
        <f t="shared" si="4"/>
        <v>696.7</v>
      </c>
      <c r="D70" s="29">
        <f>220.4+36.7</f>
        <v>257.1</v>
      </c>
      <c r="E70" s="29">
        <f>23.4+3.5</f>
        <v>26.9</v>
      </c>
      <c r="F70" s="29">
        <f>402.6-3.5+13.6</f>
        <v>412.70000000000005</v>
      </c>
      <c r="G70" s="24"/>
      <c r="H70" s="24"/>
      <c r="I70" s="24"/>
      <c r="J70" s="24"/>
      <c r="K70" s="72">
        <f t="shared" si="0"/>
        <v>696.7</v>
      </c>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row>
    <row r="71" spans="1:59" ht="12.75">
      <c r="A71" s="63" t="s">
        <v>399</v>
      </c>
      <c r="B71" s="19" t="s">
        <v>400</v>
      </c>
      <c r="C71" s="29">
        <f t="shared" si="4"/>
        <v>780.2</v>
      </c>
      <c r="D71" s="29">
        <f>199+32.4</f>
        <v>231.4</v>
      </c>
      <c r="E71" s="29">
        <v>45.6</v>
      </c>
      <c r="F71" s="29">
        <f>491.2+12</f>
        <v>503.2</v>
      </c>
      <c r="G71" s="24"/>
      <c r="H71" s="24"/>
      <c r="I71" s="24"/>
      <c r="J71" s="24"/>
      <c r="K71" s="72">
        <f t="shared" si="0"/>
        <v>780.2</v>
      </c>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row>
    <row r="72" spans="1:59" ht="25.5">
      <c r="A72" s="63" t="s">
        <v>401</v>
      </c>
      <c r="B72" s="19" t="s">
        <v>402</v>
      </c>
      <c r="C72" s="29">
        <f t="shared" si="4"/>
        <v>50</v>
      </c>
      <c r="D72" s="29"/>
      <c r="E72" s="29"/>
      <c r="F72" s="29">
        <v>50</v>
      </c>
      <c r="G72" s="24"/>
      <c r="H72" s="24"/>
      <c r="I72" s="24"/>
      <c r="J72" s="24"/>
      <c r="K72" s="72">
        <f t="shared" si="0"/>
        <v>50</v>
      </c>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row>
    <row r="73" spans="1:59" ht="12.75">
      <c r="A73" s="63" t="s">
        <v>406</v>
      </c>
      <c r="B73" s="19" t="s">
        <v>407</v>
      </c>
      <c r="C73" s="29">
        <f t="shared" si="4"/>
        <v>37.400000000000006</v>
      </c>
      <c r="D73" s="29">
        <f>21.7+3.6</f>
        <v>25.3</v>
      </c>
      <c r="E73" s="29"/>
      <c r="F73" s="29">
        <f>10.8+1.3</f>
        <v>12.100000000000001</v>
      </c>
      <c r="G73" s="24"/>
      <c r="H73" s="24"/>
      <c r="I73" s="24"/>
      <c r="J73" s="24"/>
      <c r="K73" s="72">
        <f t="shared" si="0"/>
        <v>37.400000000000006</v>
      </c>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row>
    <row r="74" spans="1:59" ht="12.75" hidden="1">
      <c r="A74" s="63" t="s">
        <v>9</v>
      </c>
      <c r="B74" s="39" t="s">
        <v>10</v>
      </c>
      <c r="C74" s="29">
        <f t="shared" si="4"/>
        <v>0</v>
      </c>
      <c r="D74" s="24"/>
      <c r="E74" s="24"/>
      <c r="F74" s="24"/>
      <c r="G74" s="24"/>
      <c r="H74" s="24"/>
      <c r="I74" s="24"/>
      <c r="J74" s="24"/>
      <c r="K74" s="72">
        <f t="shared" si="0"/>
        <v>0</v>
      </c>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row>
    <row r="75" spans="1:59" ht="12.75">
      <c r="A75" s="63" t="s">
        <v>11</v>
      </c>
      <c r="B75" s="39" t="s">
        <v>243</v>
      </c>
      <c r="C75" s="29">
        <f t="shared" si="4"/>
        <v>0</v>
      </c>
      <c r="D75" s="24"/>
      <c r="E75" s="24"/>
      <c r="F75" s="24"/>
      <c r="G75" s="24"/>
      <c r="H75" s="24">
        <v>300</v>
      </c>
      <c r="I75" s="24">
        <f>H75</f>
        <v>300</v>
      </c>
      <c r="J75" s="24"/>
      <c r="K75" s="72">
        <f t="shared" si="0"/>
        <v>300</v>
      </c>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row>
    <row r="76" spans="1:59" s="20" customFormat="1" ht="12.75">
      <c r="A76" s="61"/>
      <c r="B76" s="55" t="s">
        <v>141</v>
      </c>
      <c r="C76" s="44">
        <f>C77</f>
        <v>50</v>
      </c>
      <c r="D76" s="303">
        <f aca="true" t="shared" si="5" ref="D76:K76">D77</f>
        <v>0</v>
      </c>
      <c r="E76" s="303">
        <f t="shared" si="5"/>
        <v>0</v>
      </c>
      <c r="F76" s="44">
        <f t="shared" si="5"/>
        <v>50</v>
      </c>
      <c r="G76" s="294">
        <f t="shared" si="5"/>
        <v>0</v>
      </c>
      <c r="H76" s="294">
        <f t="shared" si="5"/>
        <v>0</v>
      </c>
      <c r="I76" s="294">
        <f t="shared" si="5"/>
        <v>0</v>
      </c>
      <c r="J76" s="294">
        <f t="shared" si="5"/>
        <v>0</v>
      </c>
      <c r="K76" s="62">
        <f t="shared" si="5"/>
        <v>50</v>
      </c>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row>
    <row r="77" spans="1:59" ht="12.75">
      <c r="A77" s="63" t="s">
        <v>9</v>
      </c>
      <c r="B77" s="39" t="s">
        <v>10</v>
      </c>
      <c r="C77" s="29">
        <f>D77+E77+F77</f>
        <v>50</v>
      </c>
      <c r="D77" s="24"/>
      <c r="E77" s="24"/>
      <c r="F77" s="24">
        <v>50</v>
      </c>
      <c r="G77" s="295"/>
      <c r="H77" s="304">
        <f>I77</f>
        <v>0</v>
      </c>
      <c r="I77" s="295"/>
      <c r="J77" s="295"/>
      <c r="K77" s="89">
        <f>C77+H77</f>
        <v>50</v>
      </c>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row>
    <row r="78" spans="1:59" s="20" customFormat="1" ht="14.25" customHeight="1">
      <c r="A78" s="61"/>
      <c r="B78" s="55" t="s">
        <v>105</v>
      </c>
      <c r="C78" s="44">
        <f>D78+E78+F78+G78</f>
        <v>34685.7</v>
      </c>
      <c r="D78" s="26"/>
      <c r="E78" s="26"/>
      <c r="F78" s="26">
        <f>13000+9100</f>
        <v>22100</v>
      </c>
      <c r="G78" s="26">
        <v>12585.7</v>
      </c>
      <c r="H78" s="304">
        <f>I78</f>
        <v>0</v>
      </c>
      <c r="I78" s="304">
        <f>I81</f>
        <v>0</v>
      </c>
      <c r="J78" s="26"/>
      <c r="K78" s="89">
        <f>C78+H78</f>
        <v>34685.7</v>
      </c>
      <c r="L78" s="92">
        <f>C78-2000</f>
        <v>32685.699999999997</v>
      </c>
      <c r="M78" s="92">
        <f>'№2'!C42</f>
        <v>34685.7</v>
      </c>
      <c r="N78" s="92">
        <f>L78-M78</f>
        <v>-2000</v>
      </c>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row>
    <row r="79" spans="1:59" s="20" customFormat="1" ht="38.25" hidden="1">
      <c r="A79" s="63" t="s">
        <v>409</v>
      </c>
      <c r="B79" s="19" t="s">
        <v>410</v>
      </c>
      <c r="C79" s="29">
        <f>D79+E79+F79+G79</f>
        <v>0</v>
      </c>
      <c r="D79" s="24"/>
      <c r="E79" s="24"/>
      <c r="F79" s="24"/>
      <c r="G79" s="26"/>
      <c r="H79" s="26"/>
      <c r="I79" s="26"/>
      <c r="J79" s="26"/>
      <c r="K79" s="72">
        <f t="shared" si="0"/>
        <v>0</v>
      </c>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row>
    <row r="80" spans="1:59" s="20" customFormat="1" ht="12.75" hidden="1">
      <c r="A80" s="63" t="s">
        <v>426</v>
      </c>
      <c r="B80" s="19" t="s">
        <v>12</v>
      </c>
      <c r="C80" s="29">
        <f>D80+E80+F80+G80</f>
        <v>0</v>
      </c>
      <c r="D80" s="24"/>
      <c r="E80" s="24"/>
      <c r="F80" s="24"/>
      <c r="G80" s="26"/>
      <c r="H80" s="24"/>
      <c r="I80" s="24"/>
      <c r="J80" s="26"/>
      <c r="K80" s="72">
        <f t="shared" si="0"/>
        <v>0</v>
      </c>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row>
    <row r="81" spans="1:59" s="20" customFormat="1" ht="12.75" hidden="1">
      <c r="A81" s="63" t="s">
        <v>424</v>
      </c>
      <c r="B81" s="19" t="s">
        <v>425</v>
      </c>
      <c r="C81" s="29">
        <f>D81+E81+F81+G81</f>
        <v>0</v>
      </c>
      <c r="D81" s="24"/>
      <c r="E81" s="24"/>
      <c r="F81" s="24"/>
      <c r="G81" s="26"/>
      <c r="H81" s="24">
        <f>I81</f>
        <v>0</v>
      </c>
      <c r="I81" s="24"/>
      <c r="J81" s="26"/>
      <c r="K81" s="72">
        <f>C81+H81</f>
        <v>0</v>
      </c>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row>
    <row r="82" spans="1:59" s="20" customFormat="1" ht="25.5" hidden="1">
      <c r="A82" s="63" t="s">
        <v>144</v>
      </c>
      <c r="B82" s="21" t="s">
        <v>431</v>
      </c>
      <c r="C82" s="29">
        <f>D82+E82+F82+G82</f>
        <v>0</v>
      </c>
      <c r="D82" s="24"/>
      <c r="E82" s="24"/>
      <c r="F82" s="24"/>
      <c r="G82" s="26"/>
      <c r="H82" s="24"/>
      <c r="I82" s="24"/>
      <c r="J82" s="26"/>
      <c r="K82" s="72">
        <f>C82+H82</f>
        <v>0</v>
      </c>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row>
    <row r="83" spans="1:12" ht="12.75">
      <c r="A83" s="63"/>
      <c r="B83" s="55" t="s">
        <v>93</v>
      </c>
      <c r="C83" s="44">
        <f>C86+C87+C89+C90+C91+C84+C85+C93+C92</f>
        <v>46901.3</v>
      </c>
      <c r="D83" s="44">
        <f>D86+D87+D89+D90+D91+D84+D85</f>
        <v>11070.7</v>
      </c>
      <c r="E83" s="44">
        <f>E86+E87+E89+E90+E91+E84+E85</f>
        <v>1148.7</v>
      </c>
      <c r="F83" s="44">
        <f>F86+F87+F89+F90+F91+F84+F85+F93+F92</f>
        <v>34681.9</v>
      </c>
      <c r="G83" s="294">
        <f>G86+G87+G89+G90+G91+G84+G85</f>
        <v>0</v>
      </c>
      <c r="H83" s="44">
        <f>H86+H87+H89+H90+H91+H84+H85</f>
        <v>1013.1</v>
      </c>
      <c r="I83" s="294">
        <f>I86+I87+I89+I90+I91+I84+I85</f>
        <v>0</v>
      </c>
      <c r="J83" s="26"/>
      <c r="K83" s="89">
        <f>C83+H83</f>
        <v>47914.4</v>
      </c>
      <c r="L83" s="40"/>
    </row>
    <row r="84" spans="1:59" ht="12.75">
      <c r="A84" s="63" t="s">
        <v>412</v>
      </c>
      <c r="B84" s="19" t="s">
        <v>413</v>
      </c>
      <c r="C84" s="29">
        <f>D84+E84+F84+G84</f>
        <v>14525.1</v>
      </c>
      <c r="D84" s="29"/>
      <c r="E84" s="29"/>
      <c r="F84" s="29">
        <f>10208.5+2685.9+1630.7</f>
        <v>14525.1</v>
      </c>
      <c r="G84" s="29"/>
      <c r="H84" s="29"/>
      <c r="I84" s="29"/>
      <c r="J84" s="24"/>
      <c r="K84" s="72">
        <f t="shared" si="0"/>
        <v>14525.1</v>
      </c>
      <c r="L84" s="93"/>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row>
    <row r="85" spans="1:59" ht="24.75" customHeight="1">
      <c r="A85" s="63" t="s">
        <v>414</v>
      </c>
      <c r="B85" s="19" t="s">
        <v>13</v>
      </c>
      <c r="C85" s="29">
        <f>D85+E85+F85+G85</f>
        <v>8528.9</v>
      </c>
      <c r="D85" s="29"/>
      <c r="E85" s="29"/>
      <c r="F85" s="29">
        <f>5500.7+2396.4+631.8</f>
        <v>8528.9</v>
      </c>
      <c r="G85" s="29"/>
      <c r="H85" s="29">
        <v>20</v>
      </c>
      <c r="I85" s="29"/>
      <c r="J85" s="24"/>
      <c r="K85" s="72">
        <f t="shared" si="0"/>
        <v>8548.9</v>
      </c>
      <c r="L85" s="93"/>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row>
    <row r="86" spans="1:59" ht="38.25">
      <c r="A86" s="63" t="s">
        <v>276</v>
      </c>
      <c r="B86" s="39" t="s">
        <v>14</v>
      </c>
      <c r="C86" s="29">
        <f aca="true" t="shared" si="6" ref="C86:C93">D86+E86+F86</f>
        <v>8827.8</v>
      </c>
      <c r="D86" s="24">
        <f>2298.6+138.8+358.2</f>
        <v>2795.6</v>
      </c>
      <c r="E86" s="24">
        <f>449.4+39.1</f>
        <v>488.5</v>
      </c>
      <c r="F86" s="24">
        <f>4137.3+1313-39.1+132.5</f>
        <v>5543.7</v>
      </c>
      <c r="G86" s="24"/>
      <c r="H86" s="24">
        <v>520.5</v>
      </c>
      <c r="I86" s="24"/>
      <c r="J86" s="24"/>
      <c r="K86" s="72">
        <f t="shared" si="0"/>
        <v>9348.3</v>
      </c>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row>
    <row r="87" spans="1:59" ht="45.75" customHeight="1">
      <c r="A87" s="69" t="s">
        <v>218</v>
      </c>
      <c r="B87" s="94" t="s">
        <v>15</v>
      </c>
      <c r="C87" s="29">
        <f t="shared" si="6"/>
        <v>14339.7</v>
      </c>
      <c r="D87" s="24">
        <f>6834.5+1440.6</f>
        <v>8275.1</v>
      </c>
      <c r="E87" s="24">
        <f>658.2+2</f>
        <v>660.2</v>
      </c>
      <c r="F87" s="24">
        <f>4632+500-2+774.4-500</f>
        <v>5404.4</v>
      </c>
      <c r="G87" s="24"/>
      <c r="H87" s="24">
        <v>472.6</v>
      </c>
      <c r="I87" s="24"/>
      <c r="J87" s="24"/>
      <c r="K87" s="72">
        <f t="shared" si="0"/>
        <v>14812.300000000001</v>
      </c>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row>
    <row r="88" spans="1:59" ht="12.75">
      <c r="A88" s="69"/>
      <c r="B88" s="94" t="s">
        <v>16</v>
      </c>
      <c r="C88" s="29">
        <f t="shared" si="6"/>
        <v>34.5</v>
      </c>
      <c r="D88" s="24"/>
      <c r="E88" s="24"/>
      <c r="F88" s="24">
        <f>31.2+3.3</f>
        <v>34.5</v>
      </c>
      <c r="G88" s="24"/>
      <c r="H88" s="24"/>
      <c r="I88" s="24"/>
      <c r="J88" s="24"/>
      <c r="K88" s="72">
        <f t="shared" si="0"/>
        <v>34.5</v>
      </c>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row>
    <row r="89" spans="1:59" ht="25.5">
      <c r="A89" s="63">
        <v>110300</v>
      </c>
      <c r="B89" s="39" t="s">
        <v>277</v>
      </c>
      <c r="C89" s="29">
        <f t="shared" si="6"/>
        <v>291</v>
      </c>
      <c r="D89" s="24"/>
      <c r="E89" s="24"/>
      <c r="F89" s="24">
        <f>253+38</f>
        <v>291</v>
      </c>
      <c r="G89" s="24"/>
      <c r="H89" s="24"/>
      <c r="I89" s="24"/>
      <c r="J89" s="24"/>
      <c r="K89" s="72">
        <f t="shared" si="0"/>
        <v>291</v>
      </c>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row>
    <row r="90" spans="1:59" ht="25.5">
      <c r="A90" s="63">
        <v>120300</v>
      </c>
      <c r="B90" s="39" t="s">
        <v>182</v>
      </c>
      <c r="C90" s="29">
        <f t="shared" si="6"/>
        <v>65.9</v>
      </c>
      <c r="D90" s="24"/>
      <c r="E90" s="24"/>
      <c r="F90" s="24">
        <v>65.9</v>
      </c>
      <c r="G90" s="24"/>
      <c r="H90" s="24"/>
      <c r="I90" s="24"/>
      <c r="J90" s="24"/>
      <c r="K90" s="72">
        <f t="shared" si="0"/>
        <v>65.9</v>
      </c>
      <c r="L90" s="93">
        <f>C90+C91+C96+C97+C98</f>
        <v>5392.199999999999</v>
      </c>
      <c r="M90" s="30">
        <f>'№2'!C48</f>
        <v>5392.2</v>
      </c>
      <c r="N90" s="93">
        <f>L90-M90</f>
        <v>0</v>
      </c>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row>
    <row r="91" spans="1:59" ht="27" customHeight="1">
      <c r="A91" s="63">
        <v>120300</v>
      </c>
      <c r="B91" s="39" t="s">
        <v>29</v>
      </c>
      <c r="C91" s="29">
        <f t="shared" si="6"/>
        <v>260</v>
      </c>
      <c r="D91" s="24"/>
      <c r="E91" s="24"/>
      <c r="F91" s="24">
        <v>260</v>
      </c>
      <c r="G91" s="24"/>
      <c r="H91" s="24"/>
      <c r="I91" s="24"/>
      <c r="J91" s="24"/>
      <c r="K91" s="72">
        <f>C91+H91</f>
        <v>260</v>
      </c>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row>
    <row r="92" spans="1:59" ht="12.75">
      <c r="A92" s="69" t="s">
        <v>183</v>
      </c>
      <c r="B92" s="23" t="s">
        <v>184</v>
      </c>
      <c r="C92" s="29">
        <f t="shared" si="6"/>
        <v>12.9</v>
      </c>
      <c r="D92" s="24"/>
      <c r="E92" s="24"/>
      <c r="F92" s="24">
        <v>12.9</v>
      </c>
      <c r="G92" s="24"/>
      <c r="H92" s="24"/>
      <c r="I92" s="24"/>
      <c r="J92" s="24"/>
      <c r="K92" s="72">
        <f>C92+H92</f>
        <v>12.9</v>
      </c>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row>
    <row r="93" spans="1:59" ht="25.5">
      <c r="A93" s="63">
        <v>180109</v>
      </c>
      <c r="B93" s="23" t="s">
        <v>246</v>
      </c>
      <c r="C93" s="29">
        <f t="shared" si="6"/>
        <v>50</v>
      </c>
      <c r="D93" s="24"/>
      <c r="E93" s="24"/>
      <c r="F93" s="291">
        <v>50</v>
      </c>
      <c r="G93" s="24"/>
      <c r="H93" s="24"/>
      <c r="I93" s="24"/>
      <c r="J93" s="24"/>
      <c r="K93" s="72">
        <f>C93+H93</f>
        <v>50</v>
      </c>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row>
    <row r="94" spans="1:59" s="20" customFormat="1" ht="12.75">
      <c r="A94" s="61"/>
      <c r="B94" s="55" t="s">
        <v>278</v>
      </c>
      <c r="C94" s="44">
        <f>C95+C96+C98+C97</f>
        <v>6891.299999999999</v>
      </c>
      <c r="D94" s="44">
        <f>D95+D96+D98++D97</f>
        <v>0</v>
      </c>
      <c r="E94" s="44">
        <f>E95+E96+E98++E97</f>
        <v>0</v>
      </c>
      <c r="F94" s="44">
        <f>F95+F96+F98++F97</f>
        <v>4579.099999999999</v>
      </c>
      <c r="G94" s="26">
        <f>G96</f>
        <v>2312.2</v>
      </c>
      <c r="H94" s="26"/>
      <c r="I94" s="26"/>
      <c r="J94" s="26"/>
      <c r="K94" s="89">
        <f t="shared" si="0"/>
        <v>6891.299999999999</v>
      </c>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row>
    <row r="95" spans="1:59" ht="25.5">
      <c r="A95" s="69">
        <v>180109</v>
      </c>
      <c r="B95" s="19" t="s">
        <v>246</v>
      </c>
      <c r="C95" s="29">
        <f>D95+E95+F95</f>
        <v>1825</v>
      </c>
      <c r="D95" s="95"/>
      <c r="E95" s="95"/>
      <c r="F95" s="96">
        <v>1825</v>
      </c>
      <c r="G95" s="24"/>
      <c r="H95" s="24"/>
      <c r="I95" s="24"/>
      <c r="J95" s="24"/>
      <c r="K95" s="72">
        <f t="shared" si="0"/>
        <v>1825</v>
      </c>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row>
    <row r="96" spans="1:59" ht="27" customHeight="1">
      <c r="A96" s="63" t="s">
        <v>17</v>
      </c>
      <c r="B96" s="94" t="s">
        <v>239</v>
      </c>
      <c r="C96" s="29">
        <f>D96+E96+F96+G96</f>
        <v>4715.9</v>
      </c>
      <c r="D96" s="24"/>
      <c r="E96" s="24"/>
      <c r="F96" s="24">
        <v>2403.7</v>
      </c>
      <c r="G96" s="29">
        <v>2312.2</v>
      </c>
      <c r="H96" s="24"/>
      <c r="I96" s="24"/>
      <c r="J96" s="24"/>
      <c r="K96" s="72">
        <f t="shared" si="0"/>
        <v>4715.9</v>
      </c>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row>
    <row r="97" spans="1:59" ht="13.5" customHeight="1">
      <c r="A97" s="69">
        <v>120300</v>
      </c>
      <c r="B97" s="19" t="s">
        <v>240</v>
      </c>
      <c r="C97" s="29">
        <f>D97+E97+F97</f>
        <v>223</v>
      </c>
      <c r="D97" s="24"/>
      <c r="E97" s="24"/>
      <c r="F97" s="24">
        <v>223</v>
      </c>
      <c r="G97" s="24"/>
      <c r="H97" s="24"/>
      <c r="I97" s="24"/>
      <c r="J97" s="24"/>
      <c r="K97" s="72">
        <f t="shared" si="0"/>
        <v>223</v>
      </c>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row>
    <row r="98" spans="1:59" ht="18.75" customHeight="1">
      <c r="A98" s="63">
        <v>120300</v>
      </c>
      <c r="B98" s="39" t="s">
        <v>279</v>
      </c>
      <c r="C98" s="29">
        <f>D98+E98+F98</f>
        <v>127.4</v>
      </c>
      <c r="D98" s="24"/>
      <c r="E98" s="24"/>
      <c r="F98" s="24">
        <v>127.4</v>
      </c>
      <c r="G98" s="24"/>
      <c r="H98" s="24"/>
      <c r="I98" s="24"/>
      <c r="J98" s="24"/>
      <c r="K98" s="72">
        <f t="shared" si="0"/>
        <v>127.4</v>
      </c>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row>
    <row r="99" spans="1:59" s="20" customFormat="1" ht="12.75">
      <c r="A99" s="68"/>
      <c r="B99" s="55" t="s">
        <v>280</v>
      </c>
      <c r="C99" s="44">
        <f aca="true" t="shared" si="7" ref="C99:H99">C100+C101+C102</f>
        <v>28246.5</v>
      </c>
      <c r="D99" s="44">
        <f t="shared" si="7"/>
        <v>3745.4</v>
      </c>
      <c r="E99" s="44">
        <f t="shared" si="7"/>
        <v>523</v>
      </c>
      <c r="F99" s="44">
        <f>F100+F101+F102</f>
        <v>23978.100000000002</v>
      </c>
      <c r="G99" s="294">
        <f t="shared" si="7"/>
        <v>0</v>
      </c>
      <c r="H99" s="44">
        <f t="shared" si="7"/>
        <v>15</v>
      </c>
      <c r="I99" s="26"/>
      <c r="J99" s="26"/>
      <c r="K99" s="89">
        <f>C99+H99</f>
        <v>28261.5</v>
      </c>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1:59" ht="43.5" customHeight="1">
      <c r="A100" s="63">
        <v>130000</v>
      </c>
      <c r="B100" s="39" t="s">
        <v>18</v>
      </c>
      <c r="C100" s="29">
        <f>D100+E100+F100+G100</f>
        <v>22453.1</v>
      </c>
      <c r="D100" s="24">
        <f>1644.5+320.7</f>
        <v>1965.2</v>
      </c>
      <c r="E100" s="24">
        <f>29.5+1.1</f>
        <v>30.6</v>
      </c>
      <c r="F100" s="24">
        <f>19147.3+584+776-50</f>
        <v>20457.3</v>
      </c>
      <c r="G100" s="24"/>
      <c r="H100" s="24"/>
      <c r="I100" s="24"/>
      <c r="J100" s="24"/>
      <c r="K100" s="72">
        <f>C100+H100</f>
        <v>22453.1</v>
      </c>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row>
    <row r="101" spans="1:59" ht="18.75" customHeight="1">
      <c r="A101" s="63" t="s">
        <v>188</v>
      </c>
      <c r="B101" s="94" t="s">
        <v>19</v>
      </c>
      <c r="C101" s="29">
        <f>D101+E101+F101</f>
        <v>5288.900000000001</v>
      </c>
      <c r="D101" s="24">
        <f>1243.6+270.2</f>
        <v>1513.8</v>
      </c>
      <c r="E101" s="24">
        <f>152.9+319.6</f>
        <v>472.5</v>
      </c>
      <c r="F101" s="24">
        <f>2794.8+380.4+127.4</f>
        <v>3302.6000000000004</v>
      </c>
      <c r="G101" s="24"/>
      <c r="H101" s="24"/>
      <c r="I101" s="24"/>
      <c r="J101" s="24"/>
      <c r="K101" s="72">
        <f t="shared" si="0"/>
        <v>5288.900000000001</v>
      </c>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row>
    <row r="102" spans="1:59" ht="28.5" customHeight="1">
      <c r="A102" s="63" t="s">
        <v>20</v>
      </c>
      <c r="B102" s="70" t="s">
        <v>32</v>
      </c>
      <c r="C102" s="29">
        <f>D102+E102+F102</f>
        <v>504.49999999999994</v>
      </c>
      <c r="D102" s="24">
        <f>228.6+37.8</f>
        <v>266.4</v>
      </c>
      <c r="E102" s="24">
        <v>19.9</v>
      </c>
      <c r="F102" s="24">
        <f>204.2+14</f>
        <v>218.2</v>
      </c>
      <c r="G102" s="24"/>
      <c r="H102" s="24">
        <v>15</v>
      </c>
      <c r="I102" s="24"/>
      <c r="J102" s="24"/>
      <c r="K102" s="72">
        <f t="shared" si="0"/>
        <v>519.5</v>
      </c>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row>
    <row r="103" spans="1:59" ht="14.25" customHeight="1">
      <c r="A103" s="63"/>
      <c r="B103" s="97" t="s">
        <v>94</v>
      </c>
      <c r="C103" s="294">
        <f>C104+C105+C106+C107+C108+C109</f>
        <v>0</v>
      </c>
      <c r="D103" s="24"/>
      <c r="E103" s="24"/>
      <c r="F103" s="26">
        <f>F104+F109</f>
        <v>0</v>
      </c>
      <c r="G103" s="24"/>
      <c r="H103" s="26">
        <f>H104+H105+H106+H107+H108+H109</f>
        <v>25243.9</v>
      </c>
      <c r="I103" s="26">
        <f>I104+I105+I106+I107+I108+I109</f>
        <v>25243.9</v>
      </c>
      <c r="J103" s="26">
        <f>J104+J105</f>
        <v>250</v>
      </c>
      <c r="K103" s="89">
        <f>C103+H103</f>
        <v>25243.9</v>
      </c>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row>
    <row r="104" spans="1:59" ht="12.75">
      <c r="A104" s="63" t="s">
        <v>11</v>
      </c>
      <c r="B104" s="19" t="s">
        <v>243</v>
      </c>
      <c r="C104" s="305">
        <f>D104+E104+F104</f>
        <v>0</v>
      </c>
      <c r="D104" s="24"/>
      <c r="E104" s="24"/>
      <c r="F104" s="24"/>
      <c r="G104" s="24"/>
      <c r="H104" s="24">
        <f aca="true" t="shared" si="8" ref="H104:H109">I104</f>
        <v>14892.5</v>
      </c>
      <c r="I104" s="24">
        <f>1000+3000+2.5+12000-1860+250+500</f>
        <v>14892.5</v>
      </c>
      <c r="J104" s="24">
        <v>250</v>
      </c>
      <c r="K104" s="72">
        <f>H104</f>
        <v>14892.5</v>
      </c>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row>
    <row r="105" spans="1:59" ht="68.25" customHeight="1">
      <c r="A105" s="63" t="s">
        <v>416</v>
      </c>
      <c r="B105" s="70" t="s">
        <v>35</v>
      </c>
      <c r="C105" s="305">
        <f>D105+E105+F105</f>
        <v>0</v>
      </c>
      <c r="D105" s="24"/>
      <c r="E105" s="24"/>
      <c r="F105" s="24"/>
      <c r="G105" s="24"/>
      <c r="H105" s="24">
        <f t="shared" si="8"/>
        <v>3891.4</v>
      </c>
      <c r="I105" s="24">
        <v>3891.4</v>
      </c>
      <c r="J105" s="24"/>
      <c r="K105" s="72">
        <f>H105+C105</f>
        <v>3891.4</v>
      </c>
      <c r="L105" s="30"/>
      <c r="M105" s="30"/>
      <c r="N105" s="93"/>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row>
    <row r="106" spans="1:59" ht="25.5">
      <c r="A106" s="63" t="s">
        <v>418</v>
      </c>
      <c r="B106" s="70" t="s">
        <v>419</v>
      </c>
      <c r="C106" s="305">
        <v>0</v>
      </c>
      <c r="D106" s="24"/>
      <c r="E106" s="24"/>
      <c r="F106" s="24"/>
      <c r="G106" s="24"/>
      <c r="H106" s="24">
        <f t="shared" si="8"/>
        <v>2460</v>
      </c>
      <c r="I106" s="24">
        <f>600+1860</f>
        <v>2460</v>
      </c>
      <c r="J106" s="24"/>
      <c r="K106" s="72">
        <f>H106+C106</f>
        <v>2460</v>
      </c>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row>
    <row r="107" spans="1:59" ht="12.75">
      <c r="A107" s="63" t="s">
        <v>422</v>
      </c>
      <c r="B107" s="70" t="s">
        <v>423</v>
      </c>
      <c r="C107" s="305">
        <v>0</v>
      </c>
      <c r="D107" s="24"/>
      <c r="E107" s="24"/>
      <c r="F107" s="24"/>
      <c r="G107" s="24"/>
      <c r="H107" s="24">
        <f t="shared" si="8"/>
        <v>4000</v>
      </c>
      <c r="I107" s="24">
        <v>4000</v>
      </c>
      <c r="J107" s="24"/>
      <c r="K107" s="72">
        <f>H107+C107</f>
        <v>4000</v>
      </c>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row>
    <row r="108" spans="1:59" ht="17.25" customHeight="1" hidden="1">
      <c r="A108" s="69" t="s">
        <v>424</v>
      </c>
      <c r="B108" s="19" t="s">
        <v>425</v>
      </c>
      <c r="C108" s="29">
        <v>0</v>
      </c>
      <c r="D108" s="24"/>
      <c r="E108" s="24"/>
      <c r="F108" s="24"/>
      <c r="G108" s="24"/>
      <c r="H108" s="24">
        <f t="shared" si="8"/>
        <v>0</v>
      </c>
      <c r="I108" s="24"/>
      <c r="J108" s="24"/>
      <c r="K108" s="72">
        <f>H108+C108</f>
        <v>0</v>
      </c>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row>
    <row r="109" spans="1:59" ht="25.5" hidden="1">
      <c r="A109" s="69" t="s">
        <v>437</v>
      </c>
      <c r="B109" s="19" t="s">
        <v>438</v>
      </c>
      <c r="C109" s="29">
        <f>D109+E109+F109</f>
        <v>0</v>
      </c>
      <c r="D109" s="24"/>
      <c r="E109" s="24"/>
      <c r="F109" s="24"/>
      <c r="G109" s="24"/>
      <c r="H109" s="24">
        <f t="shared" si="8"/>
        <v>0</v>
      </c>
      <c r="I109" s="24"/>
      <c r="J109" s="24"/>
      <c r="K109" s="72">
        <f>H109+C109</f>
        <v>0</v>
      </c>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row>
    <row r="110" spans="1:59" ht="12.75" hidden="1">
      <c r="A110" s="63"/>
      <c r="B110" s="97" t="s">
        <v>22</v>
      </c>
      <c r="C110" s="29"/>
      <c r="D110" s="24"/>
      <c r="E110" s="24"/>
      <c r="F110" s="24"/>
      <c r="G110" s="24"/>
      <c r="H110" s="26">
        <f>H111</f>
        <v>0</v>
      </c>
      <c r="I110" s="26">
        <f>I111</f>
        <v>0</v>
      </c>
      <c r="J110" s="26"/>
      <c r="K110" s="89">
        <f>K111</f>
        <v>0</v>
      </c>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row>
    <row r="111" spans="1:59" ht="12.75" hidden="1">
      <c r="A111" s="63" t="s">
        <v>11</v>
      </c>
      <c r="B111" s="19" t="s">
        <v>243</v>
      </c>
      <c r="C111" s="29">
        <f>D111+E111+F111</f>
        <v>0</v>
      </c>
      <c r="D111" s="24"/>
      <c r="E111" s="24"/>
      <c r="F111" s="24"/>
      <c r="G111" s="24"/>
      <c r="H111" s="24">
        <f>100-100</f>
        <v>0</v>
      </c>
      <c r="I111" s="24">
        <f>H111</f>
        <v>0</v>
      </c>
      <c r="J111" s="24"/>
      <c r="K111" s="72">
        <f>C111+H111</f>
        <v>0</v>
      </c>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row>
    <row r="112" spans="1:59" s="20" customFormat="1" ht="25.5">
      <c r="A112" s="61"/>
      <c r="B112" s="56" t="s">
        <v>381</v>
      </c>
      <c r="C112" s="44">
        <f>C113</f>
        <v>3000</v>
      </c>
      <c r="D112" s="294">
        <f>D113</f>
        <v>0</v>
      </c>
      <c r="E112" s="294">
        <f>E113</f>
        <v>0</v>
      </c>
      <c r="F112" s="44">
        <f>F113</f>
        <v>3000</v>
      </c>
      <c r="G112" s="304">
        <f>G113</f>
        <v>0</v>
      </c>
      <c r="H112" s="26"/>
      <c r="I112" s="26"/>
      <c r="J112" s="26"/>
      <c r="K112" s="89">
        <f t="shared" si="0"/>
        <v>3000</v>
      </c>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row>
    <row r="113" spans="1:59" ht="25.5">
      <c r="A113" s="63">
        <v>210000</v>
      </c>
      <c r="B113" s="21" t="s">
        <v>431</v>
      </c>
      <c r="C113" s="29">
        <f>D113+E113+F113+G113</f>
        <v>3000</v>
      </c>
      <c r="D113" s="295"/>
      <c r="E113" s="295"/>
      <c r="F113" s="24">
        <v>3000</v>
      </c>
      <c r="G113" s="295"/>
      <c r="H113" s="24"/>
      <c r="I113" s="24"/>
      <c r="J113" s="24"/>
      <c r="K113" s="72">
        <f t="shared" si="0"/>
        <v>3000</v>
      </c>
      <c r="L113" s="93">
        <f>C113+C128+C82</f>
        <v>3463</v>
      </c>
      <c r="M113" s="299">
        <f>'№2'!C66</f>
        <v>3463</v>
      </c>
      <c r="N113" s="93">
        <f>L113-M113</f>
        <v>0</v>
      </c>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row>
    <row r="114" spans="1:59" s="20" customFormat="1" ht="12.75">
      <c r="A114" s="61"/>
      <c r="B114" s="56" t="s">
        <v>281</v>
      </c>
      <c r="C114" s="44">
        <f>C115+C116</f>
        <v>280</v>
      </c>
      <c r="D114" s="294">
        <f>D115+D116</f>
        <v>0</v>
      </c>
      <c r="E114" s="294">
        <f>E115+E116</f>
        <v>0</v>
      </c>
      <c r="F114" s="44">
        <f>F115+F116</f>
        <v>280</v>
      </c>
      <c r="G114" s="294">
        <f>G115</f>
        <v>0</v>
      </c>
      <c r="H114" s="26"/>
      <c r="I114" s="26"/>
      <c r="J114" s="26"/>
      <c r="K114" s="89">
        <f t="shared" si="0"/>
        <v>280</v>
      </c>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row>
    <row r="115" spans="1:59" s="20" customFormat="1" ht="12.75">
      <c r="A115" s="69">
        <v>180404</v>
      </c>
      <c r="B115" s="23" t="s">
        <v>247</v>
      </c>
      <c r="C115" s="29">
        <f>D115+E115+F115</f>
        <v>200</v>
      </c>
      <c r="D115" s="295"/>
      <c r="E115" s="295"/>
      <c r="F115" s="24">
        <v>200</v>
      </c>
      <c r="G115" s="295"/>
      <c r="H115" s="24"/>
      <c r="I115" s="24"/>
      <c r="J115" s="24"/>
      <c r="K115" s="72">
        <f t="shared" si="0"/>
        <v>200</v>
      </c>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row>
    <row r="116" spans="1:59" s="20" customFormat="1" ht="25.5">
      <c r="A116" s="63">
        <v>180109</v>
      </c>
      <c r="B116" s="23" t="s">
        <v>246</v>
      </c>
      <c r="C116" s="29">
        <f>D116+E116+F116</f>
        <v>80</v>
      </c>
      <c r="D116" s="295"/>
      <c r="E116" s="295"/>
      <c r="F116" s="24">
        <v>80</v>
      </c>
      <c r="G116" s="24"/>
      <c r="H116" s="24"/>
      <c r="I116" s="24"/>
      <c r="J116" s="24"/>
      <c r="K116" s="72">
        <f t="shared" si="0"/>
        <v>80</v>
      </c>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row>
    <row r="117" spans="1:59" s="20" customFormat="1" ht="12.75">
      <c r="A117" s="69"/>
      <c r="B117" s="53" t="s">
        <v>189</v>
      </c>
      <c r="C117" s="44">
        <f>C119+C118+C120</f>
        <v>130</v>
      </c>
      <c r="D117" s="294">
        <f>D119+D118+D120</f>
        <v>0</v>
      </c>
      <c r="E117" s="294">
        <f>E119+E118+E120</f>
        <v>0</v>
      </c>
      <c r="F117" s="44">
        <f>F119+F118+F120</f>
        <v>130</v>
      </c>
      <c r="G117" s="24"/>
      <c r="H117" s="24"/>
      <c r="I117" s="24"/>
      <c r="J117" s="24"/>
      <c r="K117" s="89">
        <f>C117+H117</f>
        <v>130</v>
      </c>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row>
    <row r="118" spans="1:59" ht="12.75" customHeight="1" hidden="1">
      <c r="A118" s="69" t="s">
        <v>183</v>
      </c>
      <c r="B118" s="23" t="s">
        <v>184</v>
      </c>
      <c r="C118" s="29">
        <f>D118+E118+F118</f>
        <v>0</v>
      </c>
      <c r="D118" s="29"/>
      <c r="E118" s="29"/>
      <c r="F118" s="29">
        <f>450-450</f>
        <v>0</v>
      </c>
      <c r="G118" s="24"/>
      <c r="H118" s="24"/>
      <c r="I118" s="24"/>
      <c r="J118" s="24"/>
      <c r="K118" s="72">
        <f t="shared" si="0"/>
        <v>0</v>
      </c>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row>
    <row r="119" spans="1:59" s="20" customFormat="1" ht="25.5">
      <c r="A119" s="63">
        <v>180109</v>
      </c>
      <c r="B119" s="23" t="s">
        <v>246</v>
      </c>
      <c r="C119" s="29">
        <f>D119+E119+F119</f>
        <v>130</v>
      </c>
      <c r="D119" s="24"/>
      <c r="E119" s="24"/>
      <c r="F119" s="24">
        <v>130</v>
      </c>
      <c r="G119" s="24"/>
      <c r="H119" s="24"/>
      <c r="I119" s="24"/>
      <c r="J119" s="24"/>
      <c r="K119" s="72">
        <f t="shared" si="0"/>
        <v>130</v>
      </c>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row>
    <row r="120" spans="1:59" s="20" customFormat="1" ht="12.75" hidden="1">
      <c r="A120" s="63" t="s">
        <v>185</v>
      </c>
      <c r="B120" s="23" t="s">
        <v>186</v>
      </c>
      <c r="C120" s="29">
        <f>D120+E120+F120</f>
        <v>0</v>
      </c>
      <c r="D120" s="24"/>
      <c r="E120" s="24"/>
      <c r="F120" s="24">
        <f>212-212</f>
        <v>0</v>
      </c>
      <c r="G120" s="24"/>
      <c r="H120" s="24"/>
      <c r="I120" s="24"/>
      <c r="J120" s="24"/>
      <c r="K120" s="72">
        <f t="shared" si="0"/>
        <v>0</v>
      </c>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row>
    <row r="121" spans="1:59" s="20" customFormat="1" ht="12.75">
      <c r="A121" s="63"/>
      <c r="B121" s="53" t="s">
        <v>23</v>
      </c>
      <c r="C121" s="44">
        <f>C122</f>
        <v>1665.3</v>
      </c>
      <c r="D121" s="26"/>
      <c r="E121" s="26"/>
      <c r="F121" s="26">
        <f>F122</f>
        <v>1665.3</v>
      </c>
      <c r="G121" s="26"/>
      <c r="H121" s="26"/>
      <c r="I121" s="26"/>
      <c r="J121" s="26"/>
      <c r="K121" s="89">
        <f t="shared" si="0"/>
        <v>1665.3</v>
      </c>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row>
    <row r="122" spans="1:59" s="20" customFormat="1" ht="25.5">
      <c r="A122" s="69" t="s">
        <v>24</v>
      </c>
      <c r="B122" s="23" t="s">
        <v>246</v>
      </c>
      <c r="C122" s="29">
        <f>F122</f>
        <v>1665.3</v>
      </c>
      <c r="D122" s="24"/>
      <c r="E122" s="24"/>
      <c r="F122" s="24">
        <v>1665.3</v>
      </c>
      <c r="G122" s="24"/>
      <c r="H122" s="24"/>
      <c r="I122" s="24"/>
      <c r="J122" s="24"/>
      <c r="K122" s="72">
        <f t="shared" si="0"/>
        <v>1665.3</v>
      </c>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row>
    <row r="123" spans="1:59" s="20" customFormat="1" ht="25.5">
      <c r="A123" s="69"/>
      <c r="B123" s="25" t="s">
        <v>116</v>
      </c>
      <c r="C123" s="44">
        <f>C124</f>
        <v>60</v>
      </c>
      <c r="D123" s="294">
        <f aca="true" t="shared" si="9" ref="D123:I123">D124</f>
        <v>0</v>
      </c>
      <c r="E123" s="294">
        <f t="shared" si="9"/>
        <v>0</v>
      </c>
      <c r="F123" s="44">
        <f t="shared" si="9"/>
        <v>60</v>
      </c>
      <c r="G123" s="294">
        <f t="shared" si="9"/>
        <v>0</v>
      </c>
      <c r="H123" s="294">
        <f t="shared" si="9"/>
        <v>0</v>
      </c>
      <c r="I123" s="294">
        <f t="shared" si="9"/>
        <v>0</v>
      </c>
      <c r="J123" s="26"/>
      <c r="K123" s="89">
        <f t="shared" si="0"/>
        <v>60</v>
      </c>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row>
    <row r="124" spans="1:59" s="20" customFormat="1" ht="25.5">
      <c r="A124" s="63">
        <v>180109</v>
      </c>
      <c r="B124" s="23" t="s">
        <v>246</v>
      </c>
      <c r="C124" s="29">
        <f>F124</f>
        <v>60</v>
      </c>
      <c r="D124" s="295"/>
      <c r="E124" s="295"/>
      <c r="F124" s="24">
        <v>60</v>
      </c>
      <c r="G124" s="295"/>
      <c r="H124" s="295"/>
      <c r="I124" s="295"/>
      <c r="J124" s="24"/>
      <c r="K124" s="72">
        <f t="shared" si="0"/>
        <v>60</v>
      </c>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row>
    <row r="125" spans="1:59" s="20" customFormat="1" ht="15.75" customHeight="1">
      <c r="A125" s="63"/>
      <c r="B125" s="53" t="s">
        <v>117</v>
      </c>
      <c r="C125" s="44">
        <f>C126</f>
        <v>80</v>
      </c>
      <c r="D125" s="294">
        <f aca="true" t="shared" si="10" ref="D125:I125">D126</f>
        <v>0</v>
      </c>
      <c r="E125" s="294">
        <f t="shared" si="10"/>
        <v>0</v>
      </c>
      <c r="F125" s="44">
        <f t="shared" si="10"/>
        <v>80</v>
      </c>
      <c r="G125" s="294">
        <f t="shared" si="10"/>
        <v>0</v>
      </c>
      <c r="H125" s="294">
        <f t="shared" si="10"/>
        <v>0</v>
      </c>
      <c r="I125" s="294">
        <f t="shared" si="10"/>
        <v>0</v>
      </c>
      <c r="J125" s="26"/>
      <c r="K125" s="89">
        <f t="shared" si="0"/>
        <v>80</v>
      </c>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row>
    <row r="126" spans="1:59" s="20" customFormat="1" ht="25.5">
      <c r="A126" s="63">
        <v>180109</v>
      </c>
      <c r="B126" s="23" t="s">
        <v>246</v>
      </c>
      <c r="C126" s="29">
        <f>F126</f>
        <v>80</v>
      </c>
      <c r="D126" s="295"/>
      <c r="E126" s="295"/>
      <c r="F126" s="24">
        <v>80</v>
      </c>
      <c r="G126" s="24"/>
      <c r="H126" s="24"/>
      <c r="I126" s="24"/>
      <c r="J126" s="24"/>
      <c r="K126" s="72">
        <f t="shared" si="0"/>
        <v>80</v>
      </c>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row>
    <row r="127" spans="1:59" s="20" customFormat="1" ht="12.75">
      <c r="A127" s="68"/>
      <c r="B127" s="25" t="s">
        <v>143</v>
      </c>
      <c r="C127" s="44">
        <f>F127</f>
        <v>463</v>
      </c>
      <c r="D127" s="304">
        <f>D128</f>
        <v>0</v>
      </c>
      <c r="E127" s="304">
        <f>E128</f>
        <v>0</v>
      </c>
      <c r="F127" s="26">
        <f>F128</f>
        <v>463</v>
      </c>
      <c r="G127" s="26"/>
      <c r="H127" s="26"/>
      <c r="I127" s="26"/>
      <c r="J127" s="26"/>
      <c r="K127" s="89">
        <f t="shared" si="0"/>
        <v>463</v>
      </c>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row>
    <row r="128" spans="1:59" s="20" customFormat="1" ht="25.5">
      <c r="A128" s="69" t="s">
        <v>144</v>
      </c>
      <c r="B128" s="21" t="s">
        <v>431</v>
      </c>
      <c r="C128" s="29">
        <f>F128</f>
        <v>463</v>
      </c>
      <c r="D128" s="24"/>
      <c r="E128" s="24"/>
      <c r="F128" s="24">
        <v>463</v>
      </c>
      <c r="G128" s="24"/>
      <c r="H128" s="24"/>
      <c r="I128" s="24"/>
      <c r="J128" s="24"/>
      <c r="K128" s="72">
        <f t="shared" si="0"/>
        <v>463</v>
      </c>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row>
    <row r="129" spans="1:59" s="20" customFormat="1" ht="12.75">
      <c r="A129" s="61"/>
      <c r="B129" s="55" t="s">
        <v>282</v>
      </c>
      <c r="C129" s="44">
        <f>C130+C131+C132+C133+C134+C136+C137+C138+C139+C140+C141+C142+C143+C146+C147+C149+C151+C153+C152+C155+C145+C154+C156+C135+C157+C158+C144+C159</f>
        <v>674002.3</v>
      </c>
      <c r="D129" s="294">
        <f>D130+D131+D132+D133+D134+D136+D137+D138+D139+D140+D141+D142+D143+D146+D147+D149+D151+D153+D152+D155+D145+D154+D156+D135+D157+D158+D144+D159</f>
        <v>0</v>
      </c>
      <c r="E129" s="294">
        <f>E130+E131+E132+E133+E134+E136+E137+E138+E139+E140+E141+E142+E143+E146+E147+E149+E151+E153+E152+E155+E145+E154+E156+E135+E157+E158+E144+E159</f>
        <v>0</v>
      </c>
      <c r="F129" s="44">
        <f>F130+F131+F132+F133+F134+F136+F137+F138+F139+F140+F141+F142+F143+F146+F147+F149+F151+F153+F152+F155+F145+F154+F156+F135+F157+F158+F144+F159</f>
        <v>674002.3</v>
      </c>
      <c r="G129" s="294">
        <f>G130+G131+G132+G133+G134+G136+G137+G138+G139+G140+G141+G142+G143+G146+G147+G149+G151+G153+G152</f>
        <v>0</v>
      </c>
      <c r="H129" s="44">
        <f>H130+H131+H132+H133+H134+H136+H137+H138+H139+H140+H141+H142+H143+H146+H147+H149+H151+H153+H152+H135</f>
        <v>79821</v>
      </c>
      <c r="I129" s="294">
        <f>I130+I131+I132+I133+I134+I136+I137+I138+I139+I140+I141+I142+I143+I146+I147+I149+I151+I153+I152+I135</f>
        <v>0</v>
      </c>
      <c r="J129" s="44"/>
      <c r="K129" s="89">
        <f>C129+H129</f>
        <v>753823.3</v>
      </c>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row>
    <row r="130" spans="1:59" ht="12.75" hidden="1">
      <c r="A130" s="63" t="s">
        <v>11</v>
      </c>
      <c r="B130" s="19" t="s">
        <v>243</v>
      </c>
      <c r="C130" s="29">
        <f aca="true" t="shared" si="11" ref="C130:C159">D130+E130+F130</f>
        <v>0</v>
      </c>
      <c r="D130" s="24"/>
      <c r="E130" s="24"/>
      <c r="F130" s="24"/>
      <c r="G130" s="24"/>
      <c r="H130" s="24"/>
      <c r="I130" s="24">
        <f>H130</f>
        <v>0</v>
      </c>
      <c r="J130" s="24"/>
      <c r="K130" s="72">
        <f t="shared" si="0"/>
        <v>0</v>
      </c>
      <c r="L130" s="93"/>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row>
    <row r="131" spans="1:59" ht="14.25" customHeight="1" hidden="1">
      <c r="A131" s="63" t="s">
        <v>416</v>
      </c>
      <c r="B131" s="70" t="s">
        <v>21</v>
      </c>
      <c r="C131" s="29">
        <f t="shared" si="11"/>
        <v>0</v>
      </c>
      <c r="D131" s="24"/>
      <c r="E131" s="24"/>
      <c r="F131" s="24"/>
      <c r="G131" s="24"/>
      <c r="H131" s="24">
        <f>I131</f>
        <v>0</v>
      </c>
      <c r="I131" s="24"/>
      <c r="J131" s="24"/>
      <c r="K131" s="72">
        <f t="shared" si="0"/>
        <v>0</v>
      </c>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row>
    <row r="132" spans="1:59" ht="12" customHeight="1" hidden="1">
      <c r="A132" s="63" t="s">
        <v>418</v>
      </c>
      <c r="B132" s="70" t="s">
        <v>419</v>
      </c>
      <c r="C132" s="29">
        <f t="shared" si="11"/>
        <v>0</v>
      </c>
      <c r="D132" s="24"/>
      <c r="E132" s="24"/>
      <c r="F132" s="24"/>
      <c r="G132" s="24"/>
      <c r="H132" s="24">
        <f>I132</f>
        <v>0</v>
      </c>
      <c r="I132" s="24"/>
      <c r="J132" s="24"/>
      <c r="K132" s="72">
        <f t="shared" si="0"/>
        <v>0</v>
      </c>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row>
    <row r="133" spans="1:59" ht="12" customHeight="1" hidden="1">
      <c r="A133" s="63" t="s">
        <v>422</v>
      </c>
      <c r="B133" s="19" t="s">
        <v>423</v>
      </c>
      <c r="C133" s="29">
        <f t="shared" si="11"/>
        <v>0</v>
      </c>
      <c r="D133" s="24"/>
      <c r="E133" s="24"/>
      <c r="F133" s="24"/>
      <c r="G133" s="24"/>
      <c r="H133" s="24">
        <f>I133</f>
        <v>0</v>
      </c>
      <c r="I133" s="24"/>
      <c r="J133" s="24"/>
      <c r="K133" s="72">
        <f t="shared" si="0"/>
        <v>0</v>
      </c>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row>
    <row r="134" spans="1:59" ht="40.5" customHeight="1">
      <c r="A134" s="63">
        <v>170703</v>
      </c>
      <c r="B134" s="19" t="s">
        <v>245</v>
      </c>
      <c r="C134" s="305">
        <f t="shared" si="11"/>
        <v>0</v>
      </c>
      <c r="D134" s="24"/>
      <c r="E134" s="24"/>
      <c r="F134" s="24"/>
      <c r="G134" s="24"/>
      <c r="H134" s="24">
        <f>36050-2550</f>
        <v>33500</v>
      </c>
      <c r="I134" s="24"/>
      <c r="J134" s="24"/>
      <c r="K134" s="72">
        <f t="shared" si="0"/>
        <v>33500</v>
      </c>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row>
    <row r="135" spans="1:59" ht="25.5" hidden="1">
      <c r="A135" s="63" t="s">
        <v>24</v>
      </c>
      <c r="B135" s="23" t="s">
        <v>246</v>
      </c>
      <c r="C135" s="305">
        <f>D135+E135+F135</f>
        <v>0</v>
      </c>
      <c r="D135" s="24"/>
      <c r="E135" s="24"/>
      <c r="F135" s="24"/>
      <c r="G135" s="24"/>
      <c r="H135" s="24"/>
      <c r="I135" s="24"/>
      <c r="J135" s="24"/>
      <c r="K135" s="72">
        <f t="shared" si="0"/>
        <v>0</v>
      </c>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row>
    <row r="136" spans="1:59" ht="12" customHeight="1">
      <c r="A136" s="63" t="s">
        <v>283</v>
      </c>
      <c r="B136" s="19" t="s">
        <v>284</v>
      </c>
      <c r="C136" s="305">
        <f t="shared" si="11"/>
        <v>0</v>
      </c>
      <c r="D136" s="24"/>
      <c r="E136" s="24"/>
      <c r="F136" s="24"/>
      <c r="G136" s="24"/>
      <c r="H136" s="24">
        <v>821</v>
      </c>
      <c r="I136" s="24"/>
      <c r="J136" s="24"/>
      <c r="K136" s="72">
        <f>C136+H136</f>
        <v>821</v>
      </c>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row>
    <row r="137" spans="1:59" ht="12.75">
      <c r="A137" s="69">
        <v>230000</v>
      </c>
      <c r="B137" s="23" t="s">
        <v>248</v>
      </c>
      <c r="C137" s="29">
        <f t="shared" si="11"/>
        <v>0.1</v>
      </c>
      <c r="D137" s="24"/>
      <c r="E137" s="24"/>
      <c r="F137" s="24">
        <v>0.1</v>
      </c>
      <c r="G137" s="24"/>
      <c r="H137" s="24"/>
      <c r="I137" s="24"/>
      <c r="J137" s="24"/>
      <c r="K137" s="72">
        <f t="shared" si="0"/>
        <v>0.1</v>
      </c>
      <c r="L137" s="93">
        <f>C137</f>
        <v>0.1</v>
      </c>
      <c r="M137" s="30">
        <f>'№2'!C69</f>
        <v>0.1</v>
      </c>
      <c r="N137" s="93">
        <f>L137-M137</f>
        <v>0</v>
      </c>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row>
    <row r="138" spans="1:59" ht="67.5" customHeight="1">
      <c r="A138" s="63" t="s">
        <v>338</v>
      </c>
      <c r="B138" s="23" t="s">
        <v>250</v>
      </c>
      <c r="C138" s="305">
        <f t="shared" si="11"/>
        <v>0</v>
      </c>
      <c r="D138" s="24"/>
      <c r="E138" s="24"/>
      <c r="F138" s="24"/>
      <c r="G138" s="24"/>
      <c r="H138" s="24">
        <v>45500</v>
      </c>
      <c r="I138" s="24"/>
      <c r="J138" s="24"/>
      <c r="K138" s="72">
        <f aca="true" t="shared" si="12" ref="K138:K159">C138+H138</f>
        <v>45500</v>
      </c>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row>
    <row r="139" spans="1:59" ht="12.75">
      <c r="A139" s="63">
        <v>250102</v>
      </c>
      <c r="B139" s="39" t="s">
        <v>252</v>
      </c>
      <c r="C139" s="29">
        <f t="shared" si="11"/>
        <v>3000</v>
      </c>
      <c r="D139" s="24"/>
      <c r="E139" s="24"/>
      <c r="F139" s="24">
        <f>3000</f>
        <v>3000</v>
      </c>
      <c r="G139" s="24"/>
      <c r="H139" s="24"/>
      <c r="I139" s="24"/>
      <c r="J139" s="24"/>
      <c r="K139" s="72">
        <f t="shared" si="12"/>
        <v>3000</v>
      </c>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row>
    <row r="140" spans="1:59" ht="43.5" customHeight="1">
      <c r="A140" s="69">
        <v>250301</v>
      </c>
      <c r="B140" s="51" t="s">
        <v>445</v>
      </c>
      <c r="C140" s="29">
        <f t="shared" si="11"/>
        <v>18497.2</v>
      </c>
      <c r="D140" s="24"/>
      <c r="E140" s="24"/>
      <c r="F140" s="24">
        <f>25306.9-6809.7</f>
        <v>18497.2</v>
      </c>
      <c r="G140" s="24"/>
      <c r="H140" s="24"/>
      <c r="I140" s="24"/>
      <c r="J140" s="24"/>
      <c r="K140" s="72">
        <f t="shared" si="12"/>
        <v>18497.2</v>
      </c>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row>
    <row r="141" spans="1:59" ht="30" customHeight="1">
      <c r="A141" s="69">
        <v>250306</v>
      </c>
      <c r="B141" s="23" t="s">
        <v>256</v>
      </c>
      <c r="C141" s="29">
        <f t="shared" si="11"/>
        <v>54453.9</v>
      </c>
      <c r="D141" s="24"/>
      <c r="E141" s="24"/>
      <c r="F141" s="24">
        <f>3891.4+51002.5-940+500</f>
        <v>54453.9</v>
      </c>
      <c r="G141" s="24"/>
      <c r="H141" s="24"/>
      <c r="I141" s="24"/>
      <c r="J141" s="24"/>
      <c r="K141" s="72">
        <f t="shared" si="12"/>
        <v>54453.9</v>
      </c>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row>
    <row r="142" spans="1:59" ht="25.5">
      <c r="A142" s="69" t="s">
        <v>435</v>
      </c>
      <c r="B142" s="19" t="s">
        <v>436</v>
      </c>
      <c r="C142" s="29">
        <f t="shared" si="11"/>
        <v>181.29999999999998</v>
      </c>
      <c r="D142" s="24"/>
      <c r="E142" s="24"/>
      <c r="F142" s="24">
        <f>181.2+0.1</f>
        <v>181.29999999999998</v>
      </c>
      <c r="G142" s="24"/>
      <c r="H142" s="24"/>
      <c r="I142" s="24"/>
      <c r="J142" s="24"/>
      <c r="K142" s="72">
        <f t="shared" si="12"/>
        <v>181.29999999999998</v>
      </c>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row>
    <row r="143" spans="1:59" ht="67.5" customHeight="1">
      <c r="A143" s="69">
        <v>250313</v>
      </c>
      <c r="B143" s="45" t="s">
        <v>25</v>
      </c>
      <c r="C143" s="29">
        <f t="shared" si="11"/>
        <v>31342</v>
      </c>
      <c r="D143" s="24"/>
      <c r="E143" s="24"/>
      <c r="F143" s="24">
        <f>14398.5+16943.5</f>
        <v>31342</v>
      </c>
      <c r="G143" s="24"/>
      <c r="H143" s="24"/>
      <c r="I143" s="24"/>
      <c r="J143" s="24"/>
      <c r="K143" s="72">
        <f t="shared" si="12"/>
        <v>31342</v>
      </c>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row>
    <row r="144" spans="1:59" ht="76.5" hidden="1">
      <c r="A144" s="69" t="s">
        <v>441</v>
      </c>
      <c r="B144" s="45" t="s">
        <v>26</v>
      </c>
      <c r="C144" s="29">
        <f t="shared" si="11"/>
        <v>0</v>
      </c>
      <c r="D144" s="24"/>
      <c r="E144" s="24"/>
      <c r="F144" s="24"/>
      <c r="G144" s="24"/>
      <c r="H144" s="24"/>
      <c r="I144" s="24"/>
      <c r="J144" s="24"/>
      <c r="K144" s="72">
        <f t="shared" si="12"/>
        <v>0</v>
      </c>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row>
    <row r="145" spans="1:59" ht="25.5">
      <c r="A145" s="69" t="s">
        <v>33</v>
      </c>
      <c r="B145" s="73" t="s">
        <v>34</v>
      </c>
      <c r="C145" s="29">
        <f t="shared" si="11"/>
        <v>626.0999999999999</v>
      </c>
      <c r="D145" s="24"/>
      <c r="E145" s="24"/>
      <c r="F145" s="29">
        <f>524.8+101.3</f>
        <v>626.0999999999999</v>
      </c>
      <c r="G145" s="24"/>
      <c r="H145" s="24"/>
      <c r="I145" s="24"/>
      <c r="J145" s="24"/>
      <c r="K145" s="72">
        <f t="shared" si="12"/>
        <v>626.0999999999999</v>
      </c>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row>
    <row r="146" spans="1:59" ht="40.5" customHeight="1">
      <c r="A146" s="69" t="s">
        <v>447</v>
      </c>
      <c r="B146" s="120" t="s">
        <v>448</v>
      </c>
      <c r="C146" s="29">
        <f t="shared" si="11"/>
        <v>259687.8</v>
      </c>
      <c r="D146" s="24"/>
      <c r="E146" s="24"/>
      <c r="F146" s="24">
        <f>135671.6+124016.2</f>
        <v>259687.8</v>
      </c>
      <c r="G146" s="24"/>
      <c r="H146" s="24"/>
      <c r="I146" s="24"/>
      <c r="J146" s="24"/>
      <c r="K146" s="72">
        <f t="shared" si="12"/>
        <v>259687.8</v>
      </c>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row>
    <row r="147" spans="1:13" s="20" customFormat="1" ht="123" customHeight="1">
      <c r="A147" s="183" t="s">
        <v>449</v>
      </c>
      <c r="B147" s="186" t="s">
        <v>191</v>
      </c>
      <c r="C147" s="360">
        <f t="shared" si="11"/>
        <v>199207</v>
      </c>
      <c r="D147" s="361"/>
      <c r="E147" s="361"/>
      <c r="F147" s="361">
        <f>214383.2-15176.2</f>
        <v>199207</v>
      </c>
      <c r="G147" s="361"/>
      <c r="H147" s="361"/>
      <c r="I147" s="361"/>
      <c r="J147" s="333"/>
      <c r="K147" s="355">
        <f t="shared" si="12"/>
        <v>199207</v>
      </c>
      <c r="L147" s="27"/>
      <c r="M147" s="28"/>
    </row>
    <row r="148" spans="1:13" s="20" customFormat="1" ht="203.25" customHeight="1">
      <c r="A148" s="196"/>
      <c r="B148" s="205" t="s">
        <v>104</v>
      </c>
      <c r="C148" s="312"/>
      <c r="D148" s="333"/>
      <c r="E148" s="333"/>
      <c r="F148" s="333"/>
      <c r="G148" s="333"/>
      <c r="H148" s="333"/>
      <c r="I148" s="333"/>
      <c r="J148" s="333"/>
      <c r="K148" s="355"/>
      <c r="L148" s="27"/>
      <c r="M148" s="28"/>
    </row>
    <row r="149" spans="1:13" s="20" customFormat="1" ht="148.5" customHeight="1">
      <c r="A149" s="69" t="s">
        <v>450</v>
      </c>
      <c r="B149" s="188" t="s">
        <v>190</v>
      </c>
      <c r="C149" s="29">
        <f t="shared" si="11"/>
        <v>76175.4</v>
      </c>
      <c r="D149" s="29"/>
      <c r="E149" s="29"/>
      <c r="F149" s="29">
        <v>76175.4</v>
      </c>
      <c r="G149" s="29"/>
      <c r="H149" s="29"/>
      <c r="I149" s="29"/>
      <c r="J149" s="29"/>
      <c r="K149" s="72">
        <f t="shared" si="12"/>
        <v>76175.4</v>
      </c>
      <c r="L149" s="27"/>
      <c r="M149" s="28"/>
    </row>
    <row r="150" spans="1:13" s="20" customFormat="1" ht="120" customHeight="1">
      <c r="A150" s="183" t="s">
        <v>451</v>
      </c>
      <c r="B150" s="186" t="s">
        <v>191</v>
      </c>
      <c r="C150" s="190"/>
      <c r="D150" s="190"/>
      <c r="E150" s="190"/>
      <c r="F150" s="190"/>
      <c r="G150" s="190"/>
      <c r="H150" s="190"/>
      <c r="I150" s="190"/>
      <c r="J150" s="190"/>
      <c r="K150" s="195"/>
      <c r="L150" s="27"/>
      <c r="M150" s="28"/>
    </row>
    <row r="151" spans="1:13" s="20" customFormat="1" ht="190.5" customHeight="1">
      <c r="A151" s="166"/>
      <c r="B151" s="205" t="s">
        <v>106</v>
      </c>
      <c r="C151" s="170">
        <f t="shared" si="11"/>
        <v>21494.7</v>
      </c>
      <c r="D151" s="170"/>
      <c r="E151" s="170"/>
      <c r="F151" s="170">
        <v>21494.7</v>
      </c>
      <c r="G151" s="170"/>
      <c r="H151" s="170"/>
      <c r="I151" s="170"/>
      <c r="J151" s="170"/>
      <c r="K151" s="194">
        <f t="shared" si="12"/>
        <v>21494.7</v>
      </c>
      <c r="L151" s="27"/>
      <c r="M151" s="28"/>
    </row>
    <row r="152" spans="1:13" s="20" customFormat="1" ht="25.5">
      <c r="A152" s="69" t="s">
        <v>285</v>
      </c>
      <c r="B152" s="19" t="s">
        <v>382</v>
      </c>
      <c r="C152" s="29">
        <f t="shared" si="11"/>
        <v>7136.8</v>
      </c>
      <c r="D152" s="29"/>
      <c r="E152" s="29"/>
      <c r="F152" s="29">
        <v>7136.8</v>
      </c>
      <c r="G152" s="29"/>
      <c r="H152" s="29"/>
      <c r="I152" s="29"/>
      <c r="J152" s="29"/>
      <c r="K152" s="64">
        <f t="shared" si="12"/>
        <v>7136.8</v>
      </c>
      <c r="L152" s="27"/>
      <c r="M152" s="28"/>
    </row>
    <row r="153" spans="1:12" s="20" customFormat="1" ht="55.5" customHeight="1" hidden="1">
      <c r="A153" s="69" t="s">
        <v>454</v>
      </c>
      <c r="B153" s="70" t="s">
        <v>455</v>
      </c>
      <c r="C153" s="29">
        <f t="shared" si="11"/>
        <v>0</v>
      </c>
      <c r="D153" s="29"/>
      <c r="E153" s="29"/>
      <c r="F153" s="29"/>
      <c r="G153" s="29"/>
      <c r="H153" s="29"/>
      <c r="I153" s="29"/>
      <c r="J153" s="29"/>
      <c r="K153" s="72">
        <f t="shared" si="12"/>
        <v>0</v>
      </c>
      <c r="L153" s="22"/>
    </row>
    <row r="154" spans="1:12" s="20" customFormat="1" ht="94.5" customHeight="1" hidden="1">
      <c r="A154" s="69" t="s">
        <v>456</v>
      </c>
      <c r="B154" s="70" t="s">
        <v>457</v>
      </c>
      <c r="C154" s="29">
        <f t="shared" si="11"/>
        <v>0</v>
      </c>
      <c r="D154" s="29"/>
      <c r="E154" s="29"/>
      <c r="F154" s="29"/>
      <c r="G154" s="29"/>
      <c r="H154" s="29"/>
      <c r="I154" s="29"/>
      <c r="J154" s="29"/>
      <c r="K154" s="72">
        <f t="shared" si="12"/>
        <v>0</v>
      </c>
      <c r="L154" s="22"/>
    </row>
    <row r="155" spans="1:12" s="20" customFormat="1" ht="12.75">
      <c r="A155" s="69" t="s">
        <v>458</v>
      </c>
      <c r="B155" s="70" t="s">
        <v>379</v>
      </c>
      <c r="C155" s="29">
        <f t="shared" si="11"/>
        <v>2200</v>
      </c>
      <c r="D155" s="29"/>
      <c r="E155" s="29"/>
      <c r="F155" s="29">
        <f>1200+1000</f>
        <v>2200</v>
      </c>
      <c r="G155" s="29"/>
      <c r="H155" s="29"/>
      <c r="I155" s="29"/>
      <c r="J155" s="29"/>
      <c r="K155" s="72">
        <f t="shared" si="12"/>
        <v>2200</v>
      </c>
      <c r="L155" s="22"/>
    </row>
    <row r="156" spans="1:12" s="20" customFormat="1" ht="88.5" customHeight="1" hidden="1">
      <c r="A156" s="69" t="s">
        <v>443</v>
      </c>
      <c r="B156" s="45" t="s">
        <v>444</v>
      </c>
      <c r="C156" s="29">
        <f t="shared" si="11"/>
        <v>0</v>
      </c>
      <c r="D156" s="29"/>
      <c r="E156" s="29"/>
      <c r="F156" s="29"/>
      <c r="G156" s="29"/>
      <c r="H156" s="29"/>
      <c r="I156" s="29"/>
      <c r="J156" s="29"/>
      <c r="K156" s="72">
        <f t="shared" si="12"/>
        <v>0</v>
      </c>
      <c r="L156" s="22"/>
    </row>
    <row r="157" spans="1:12" s="20" customFormat="1" ht="25.5" hidden="1">
      <c r="A157" s="69" t="s">
        <v>459</v>
      </c>
      <c r="B157" s="70" t="s">
        <v>27</v>
      </c>
      <c r="C157" s="29">
        <f t="shared" si="11"/>
        <v>0</v>
      </c>
      <c r="D157" s="29"/>
      <c r="E157" s="29"/>
      <c r="F157" s="29"/>
      <c r="G157" s="29"/>
      <c r="H157" s="29"/>
      <c r="I157" s="29"/>
      <c r="J157" s="29"/>
      <c r="K157" s="72">
        <f t="shared" si="12"/>
        <v>0</v>
      </c>
      <c r="L157" s="22"/>
    </row>
    <row r="158" spans="1:12" s="20" customFormat="1" ht="67.5" customHeight="1" hidden="1">
      <c r="A158" s="69" t="s">
        <v>461</v>
      </c>
      <c r="B158" s="70" t="s">
        <v>462</v>
      </c>
      <c r="C158" s="29">
        <f t="shared" si="11"/>
        <v>0</v>
      </c>
      <c r="D158" s="29"/>
      <c r="E158" s="29"/>
      <c r="F158" s="29"/>
      <c r="G158" s="29"/>
      <c r="H158" s="29"/>
      <c r="I158" s="29"/>
      <c r="J158" s="29"/>
      <c r="K158" s="72">
        <f t="shared" si="12"/>
        <v>0</v>
      </c>
      <c r="L158" s="22"/>
    </row>
    <row r="159" spans="1:12" s="20" customFormat="1" ht="12.75" hidden="1">
      <c r="A159" s="69" t="s">
        <v>28</v>
      </c>
      <c r="B159" s="70" t="s">
        <v>266</v>
      </c>
      <c r="C159" s="29">
        <f t="shared" si="11"/>
        <v>0</v>
      </c>
      <c r="D159" s="29"/>
      <c r="E159" s="29"/>
      <c r="F159" s="29"/>
      <c r="G159" s="29"/>
      <c r="H159" s="29"/>
      <c r="I159" s="29"/>
      <c r="J159" s="29"/>
      <c r="K159" s="72">
        <f t="shared" si="12"/>
        <v>0</v>
      </c>
      <c r="L159" s="22"/>
    </row>
    <row r="160" spans="1:59" s="20" customFormat="1" ht="14.25" customHeight="1" thickBot="1">
      <c r="A160" s="356" t="s">
        <v>257</v>
      </c>
      <c r="B160" s="357"/>
      <c r="C160" s="98">
        <f>C15+C30+C36+C46+C61+C64+C78+C83+C94+C99+C112+C114+C129+C117+C103+C121+C76+C127+C123+C125</f>
        <v>1357936.1</v>
      </c>
      <c r="D160" s="98">
        <f>D15+D30+D36+D46+D61+D64+D78+D83+D94+D99+D112+D114+D129+D117+D103+D121+D76</f>
        <v>236991.50000000003</v>
      </c>
      <c r="E160" s="98">
        <f>E15+E30+E36+E46+E61+E64+E78+E83+E94+E99+E112+E114+E129+E117+E103+E121+E76</f>
        <v>39899.6</v>
      </c>
      <c r="F160" s="98">
        <f>F15+F30+F36+F46+F61+F64+F78+F83+F94+F99+F112+F114+F129+F117+F103+F121+F76+F127+F123+F125</f>
        <v>1053622.4000000001</v>
      </c>
      <c r="G160" s="98">
        <f>G15+G30+G36+G46+G61+G64+G78+G83+G94+G99+G112+G114+G129+G117+G103+G121+G76</f>
        <v>27422.600000000002</v>
      </c>
      <c r="H160" s="98">
        <f>H15+H30+H36+H46+H61+H64+H78+H83+H94+H99+H112+H114+H129+H117+H103+H121+H76</f>
        <v>159733.5</v>
      </c>
      <c r="I160" s="98">
        <f>I15+I30+I36+I46+I61+I64+I78+I83+I94+I99+I112+I114+I129+I117+I103+I121+I76</f>
        <v>56203.9</v>
      </c>
      <c r="J160" s="98">
        <f>J15+J30+J36+J46+J61+J64+J78+J83+J94+J99+J112+J114+J129+J117+J103+J121+J76</f>
        <v>250</v>
      </c>
      <c r="K160" s="296">
        <f>K15+K30+K36+K46+K61+K64+K78+K83+K94+K99+K112+K114+K129+K117+K103+K121+K76+K127+K123+K125</f>
        <v>1517669.5999999999</v>
      </c>
      <c r="L160" s="92">
        <f>L16+L17+L18+L19+L21+L23+L28+L37+L41+L90+L113+L137+L78</f>
        <v>1354270.8</v>
      </c>
      <c r="M160" s="92">
        <f>M16+M17+M18+M19+M21+M23+M28+M37+M41+M90+M113+M137+M78</f>
        <v>1357936.1</v>
      </c>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row>
    <row r="161" spans="1:59" s="7" customFormat="1" ht="12.75">
      <c r="A161" s="99"/>
      <c r="B161" s="100"/>
      <c r="C161" s="27"/>
      <c r="D161" s="27"/>
      <c r="E161" s="27"/>
      <c r="F161" s="27"/>
      <c r="G161" s="27"/>
      <c r="H161" s="27"/>
      <c r="I161" s="27"/>
      <c r="J161" s="27"/>
      <c r="K161" s="27"/>
      <c r="L161" s="301">
        <f>C160-L160</f>
        <v>3665.3000000000466</v>
      </c>
      <c r="M161" s="301">
        <f>'№2'!C99-'№3'!M160</f>
        <v>0</v>
      </c>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row>
    <row r="162" spans="3:13" ht="12.75">
      <c r="C162" s="31">
        <f>'[2]№2'!C99-'[2]№3 '!C158</f>
        <v>0</v>
      </c>
      <c r="D162" s="31">
        <f>'[2]№2'!D99-'[2]№3 '!D158</f>
        <v>0</v>
      </c>
      <c r="E162" s="31">
        <f>'[2]№2'!E99-'[2]№3 '!E158</f>
        <v>0</v>
      </c>
      <c r="F162" s="31">
        <f>'[2]№2'!F99-'[2]№3 '!F158</f>
        <v>0</v>
      </c>
      <c r="G162" s="31">
        <f>'[2]№2'!G99-'[2]№3 '!G158</f>
        <v>0</v>
      </c>
      <c r="H162" s="31">
        <f>'[2]№2'!H99-'[2]№3 '!H158</f>
        <v>0</v>
      </c>
      <c r="I162" s="31">
        <f>'[2]№2'!I99-'[2]№3 '!I158</f>
        <v>0</v>
      </c>
      <c r="J162" s="31">
        <f>'[2]№2'!J99-'[2]№3 '!J158</f>
        <v>0</v>
      </c>
      <c r="K162" s="31">
        <f>'[2]№2'!K99-'[2]№3 '!K158</f>
        <v>0</v>
      </c>
      <c r="L162" s="6" t="s">
        <v>139</v>
      </c>
      <c r="M162" s="302" t="s">
        <v>140</v>
      </c>
    </row>
    <row r="163" spans="3:12" ht="12.75">
      <c r="C163" s="31"/>
      <c r="D163" s="31"/>
      <c r="E163" s="31"/>
      <c r="F163" s="31"/>
      <c r="G163" s="31"/>
      <c r="H163" s="31"/>
      <c r="I163" s="31"/>
      <c r="J163" s="31"/>
      <c r="K163" s="31"/>
      <c r="L163" s="3"/>
    </row>
    <row r="164" spans="2:11" ht="12.75">
      <c r="B164" s="237" t="s">
        <v>178</v>
      </c>
      <c r="C164" s="31">
        <f>'№2'!C99</f>
        <v>1357936.1</v>
      </c>
      <c r="D164" s="31">
        <f>'№2'!D99</f>
        <v>236991.49999999997</v>
      </c>
      <c r="E164" s="31">
        <f>'№2'!E99</f>
        <v>39899.6</v>
      </c>
      <c r="F164" s="31">
        <f>'№2'!F99</f>
        <v>1053622.4</v>
      </c>
      <c r="G164" s="31">
        <f>'№2'!G99</f>
        <v>27422.600000000002</v>
      </c>
      <c r="H164" s="31">
        <f>'№2'!H99</f>
        <v>159733.5</v>
      </c>
      <c r="I164" s="31">
        <f>'№2'!I99</f>
        <v>56203.9</v>
      </c>
      <c r="J164" s="31">
        <f>'№2'!J99</f>
        <v>250</v>
      </c>
      <c r="K164" s="31">
        <f>'№2'!K99</f>
        <v>1517669.6</v>
      </c>
    </row>
    <row r="165" spans="3:11" ht="15">
      <c r="C165" s="40"/>
      <c r="F165" s="101"/>
      <c r="I165" s="31"/>
      <c r="K165" s="31"/>
    </row>
    <row r="166" spans="3:11" ht="12.75">
      <c r="C166" s="42">
        <f>C160-C164</f>
        <v>0</v>
      </c>
      <c r="D166" s="42">
        <f aca="true" t="shared" si="13" ref="D166:K166">D160-D164</f>
        <v>0</v>
      </c>
      <c r="E166" s="42">
        <f t="shared" si="13"/>
        <v>0</v>
      </c>
      <c r="F166" s="42">
        <f t="shared" si="13"/>
        <v>0</v>
      </c>
      <c r="G166" s="42">
        <f t="shared" si="13"/>
        <v>0</v>
      </c>
      <c r="H166" s="42">
        <f t="shared" si="13"/>
        <v>0</v>
      </c>
      <c r="I166" s="42">
        <f t="shared" si="13"/>
        <v>0</v>
      </c>
      <c r="J166" s="42">
        <f t="shared" si="13"/>
        <v>0</v>
      </c>
      <c r="K166" s="42">
        <f t="shared" si="13"/>
        <v>0</v>
      </c>
    </row>
    <row r="167" spans="3:11" ht="12.75">
      <c r="C167" s="40"/>
      <c r="D167" s="31"/>
      <c r="E167" s="31"/>
      <c r="F167" s="31"/>
      <c r="G167" s="31"/>
      <c r="H167" s="31"/>
      <c r="I167" s="31"/>
      <c r="J167" s="31"/>
      <c r="K167" s="31"/>
    </row>
    <row r="168" spans="2:12" ht="12.75">
      <c r="B168" s="237" t="s">
        <v>177</v>
      </c>
      <c r="C168" s="87">
        <f>'№1'!$C$75</f>
        <v>1297281</v>
      </c>
      <c r="D168" s="87"/>
      <c r="E168" s="87"/>
      <c r="F168" s="87"/>
      <c r="G168" s="87">
        <f>'№1'!C56</f>
        <v>27422.600000000002</v>
      </c>
      <c r="H168" s="87">
        <f>'№1'!D75</f>
        <v>159733.5</v>
      </c>
      <c r="I168" s="87">
        <f>'№1'!E75</f>
        <v>56203.9</v>
      </c>
      <c r="J168" s="87">
        <f>'№2'!J99</f>
        <v>250</v>
      </c>
      <c r="K168" s="87">
        <f>'№1'!F75</f>
        <v>1457014.5</v>
      </c>
      <c r="L168" s="93"/>
    </row>
    <row r="169" spans="3:12" ht="12.75">
      <c r="C169" s="93"/>
      <c r="D169" s="31"/>
      <c r="E169" s="31"/>
      <c r="F169" s="31"/>
      <c r="G169" s="31"/>
      <c r="H169" s="31"/>
      <c r="I169" s="31"/>
      <c r="J169" s="31"/>
      <c r="K169" s="31"/>
      <c r="L169" s="93"/>
    </row>
    <row r="170" spans="3:11" ht="12.75">
      <c r="C170" s="40">
        <f>C168-C160</f>
        <v>-60655.10000000009</v>
      </c>
      <c r="D170" s="40"/>
      <c r="E170" s="40"/>
      <c r="F170" s="40"/>
      <c r="G170" s="40">
        <f>G168-G160</f>
        <v>0</v>
      </c>
      <c r="H170" s="40">
        <f>H168-H160</f>
        <v>0</v>
      </c>
      <c r="I170" s="40">
        <f>I168-I160</f>
        <v>0</v>
      </c>
      <c r="J170" s="40">
        <f>J168-J160</f>
        <v>0</v>
      </c>
      <c r="K170" s="40">
        <f>K168-K160</f>
        <v>-60655.09999999986</v>
      </c>
    </row>
    <row r="171" ht="12.75">
      <c r="C171" s="34"/>
    </row>
    <row r="172" spans="3:6" ht="12.75">
      <c r="C172" s="40">
        <f>C170+60655.1</f>
        <v>-9.458744898438454E-11</v>
      </c>
      <c r="F172" s="32"/>
    </row>
    <row r="173" ht="12.75">
      <c r="C173" s="34"/>
    </row>
    <row r="174" ht="12.75">
      <c r="C174" s="34"/>
    </row>
    <row r="175" ht="12.75">
      <c r="C175" s="34"/>
    </row>
    <row r="176" ht="12.75">
      <c r="C176" s="34"/>
    </row>
    <row r="177" ht="12.75">
      <c r="C177" s="34"/>
    </row>
    <row r="178" ht="12.75">
      <c r="C178" s="34"/>
    </row>
    <row r="179" ht="12.75">
      <c r="C179" s="34"/>
    </row>
    <row r="180" ht="12.75">
      <c r="C180" s="34"/>
    </row>
    <row r="181" ht="12.75">
      <c r="C181" s="34"/>
    </row>
    <row r="182" ht="12.75">
      <c r="C182" s="34"/>
    </row>
    <row r="183" ht="12.75">
      <c r="C183" s="34"/>
    </row>
    <row r="184" ht="12.75">
      <c r="C184" s="34"/>
    </row>
    <row r="185" ht="12.75">
      <c r="C185" s="34"/>
    </row>
    <row r="186" ht="12.75">
      <c r="C186" s="34"/>
    </row>
    <row r="187" ht="12.75">
      <c r="C187" s="34"/>
    </row>
    <row r="188" ht="12.75">
      <c r="C188" s="34"/>
    </row>
    <row r="189" ht="12.75">
      <c r="C189" s="34"/>
    </row>
    <row r="190" ht="12.75">
      <c r="C190" s="34"/>
    </row>
    <row r="191" ht="12.75">
      <c r="C191" s="34"/>
    </row>
    <row r="192" ht="12.75">
      <c r="C192" s="34"/>
    </row>
    <row r="193" ht="12.75">
      <c r="C193" s="34"/>
    </row>
    <row r="194" ht="12.75">
      <c r="C194" s="34"/>
    </row>
    <row r="195" ht="12.75">
      <c r="C195" s="34"/>
    </row>
    <row r="196" ht="12.75">
      <c r="C196" s="34"/>
    </row>
    <row r="197" ht="12.75">
      <c r="C197" s="34"/>
    </row>
    <row r="198" ht="12.75">
      <c r="C198" s="34"/>
    </row>
    <row r="199" ht="12.75">
      <c r="C199" s="34"/>
    </row>
    <row r="200" ht="12.75">
      <c r="C200" s="34"/>
    </row>
    <row r="201" ht="12.75">
      <c r="C201" s="34"/>
    </row>
    <row r="202" ht="12.75">
      <c r="C202" s="34"/>
    </row>
    <row r="203" ht="12.75">
      <c r="C203" s="34"/>
    </row>
    <row r="204" ht="12.75">
      <c r="C204" s="34"/>
    </row>
    <row r="205" ht="12.75">
      <c r="C205" s="34"/>
    </row>
    <row r="206" ht="12.75">
      <c r="C206" s="34"/>
    </row>
    <row r="207" ht="12.75">
      <c r="C207" s="34"/>
    </row>
    <row r="208" ht="12.75">
      <c r="C208" s="34"/>
    </row>
    <row r="209" ht="12.75">
      <c r="C209" s="34"/>
    </row>
    <row r="210" ht="12.75">
      <c r="C210" s="34"/>
    </row>
    <row r="211" ht="12.75">
      <c r="C211" s="34"/>
    </row>
    <row r="212" ht="12.75">
      <c r="C212" s="34"/>
    </row>
    <row r="213" ht="12.75">
      <c r="C213" s="34"/>
    </row>
    <row r="214" ht="12.75">
      <c r="C214" s="34"/>
    </row>
    <row r="215" ht="12.75">
      <c r="C215" s="34"/>
    </row>
    <row r="216" ht="12.75">
      <c r="C216" s="34"/>
    </row>
    <row r="217" ht="12.75">
      <c r="C217" s="34"/>
    </row>
    <row r="218" ht="12.75">
      <c r="C218" s="34"/>
    </row>
    <row r="219" ht="12.75">
      <c r="C219" s="34"/>
    </row>
    <row r="220" ht="12.75">
      <c r="C220" s="34"/>
    </row>
    <row r="221" ht="12.75">
      <c r="C221" s="34"/>
    </row>
    <row r="222" ht="12.75">
      <c r="C222" s="34"/>
    </row>
    <row r="223" ht="12.75">
      <c r="C223" s="34"/>
    </row>
    <row r="224" ht="12.75">
      <c r="C224" s="34"/>
    </row>
    <row r="225" ht="12.75">
      <c r="C225" s="34"/>
    </row>
    <row r="226" ht="12.75">
      <c r="C226" s="34"/>
    </row>
    <row r="227" ht="12.75">
      <c r="C227" s="34"/>
    </row>
    <row r="228" ht="12.75">
      <c r="C228" s="34"/>
    </row>
    <row r="229" ht="12.75">
      <c r="C229" s="34"/>
    </row>
    <row r="230" ht="12.75">
      <c r="C230" s="34"/>
    </row>
    <row r="231" ht="12.75">
      <c r="C231" s="34"/>
    </row>
    <row r="232" ht="12.75">
      <c r="C232" s="34"/>
    </row>
    <row r="233" ht="12.75">
      <c r="C233" s="34"/>
    </row>
    <row r="234" ht="12.75">
      <c r="C234" s="34"/>
    </row>
    <row r="235" ht="12.75">
      <c r="C235" s="34"/>
    </row>
    <row r="236" ht="12.75">
      <c r="C236" s="34"/>
    </row>
    <row r="237" ht="12.75">
      <c r="C237" s="34"/>
    </row>
    <row r="238" ht="12.75">
      <c r="C238" s="34"/>
    </row>
    <row r="239" ht="12.75">
      <c r="C239" s="34"/>
    </row>
    <row r="240" ht="12.75">
      <c r="C240" s="34"/>
    </row>
    <row r="241" ht="12.75">
      <c r="C241" s="34"/>
    </row>
    <row r="242" ht="12.75">
      <c r="C242" s="34"/>
    </row>
    <row r="243" ht="12.75">
      <c r="C243" s="34"/>
    </row>
    <row r="244" ht="12.75">
      <c r="C244" s="34"/>
    </row>
    <row r="245" ht="12.75">
      <c r="C245" s="34"/>
    </row>
    <row r="246" ht="12.75">
      <c r="C246" s="34"/>
    </row>
    <row r="247" ht="12.75">
      <c r="C247" s="34"/>
    </row>
    <row r="248" ht="12.75">
      <c r="C248" s="34"/>
    </row>
    <row r="249" ht="12.75">
      <c r="C249" s="34"/>
    </row>
    <row r="250" ht="12.75">
      <c r="C250" s="34"/>
    </row>
    <row r="251" ht="12.75">
      <c r="C251" s="34"/>
    </row>
    <row r="252" ht="12.75">
      <c r="C252" s="34"/>
    </row>
    <row r="253" ht="12.75">
      <c r="C253" s="34"/>
    </row>
    <row r="254" ht="12.75">
      <c r="C254" s="34"/>
    </row>
    <row r="255" ht="12.75">
      <c r="C255" s="34"/>
    </row>
    <row r="256" ht="12.75">
      <c r="C256" s="34"/>
    </row>
    <row r="257" ht="12.75">
      <c r="C257" s="34"/>
    </row>
    <row r="258" ht="12.75">
      <c r="C258" s="34"/>
    </row>
    <row r="259" ht="12.75">
      <c r="C259" s="34"/>
    </row>
    <row r="260" ht="12.75">
      <c r="C260" s="34"/>
    </row>
    <row r="261" ht="12.75">
      <c r="C261" s="34"/>
    </row>
    <row r="262" ht="12.75">
      <c r="C262" s="34"/>
    </row>
    <row r="263" ht="12.75">
      <c r="C263" s="34"/>
    </row>
    <row r="264" ht="12.75">
      <c r="C264" s="34"/>
    </row>
    <row r="265" ht="12.75">
      <c r="C265" s="34"/>
    </row>
    <row r="266" ht="12.75">
      <c r="C266" s="34"/>
    </row>
    <row r="267" ht="12.75">
      <c r="C267" s="34"/>
    </row>
    <row r="268" ht="12.75">
      <c r="C268" s="34"/>
    </row>
    <row r="269" ht="12.75">
      <c r="C269" s="34"/>
    </row>
    <row r="270" ht="12.75">
      <c r="C270" s="34"/>
    </row>
    <row r="271" ht="12.75">
      <c r="C271" s="34"/>
    </row>
    <row r="272" ht="12.75">
      <c r="C272" s="34"/>
    </row>
    <row r="273" ht="12.75">
      <c r="C273" s="34"/>
    </row>
    <row r="274" ht="12.75">
      <c r="C274" s="34"/>
    </row>
    <row r="275" ht="12.75">
      <c r="C275" s="34"/>
    </row>
    <row r="276" ht="12.75">
      <c r="C276" s="34"/>
    </row>
    <row r="277" ht="12.75">
      <c r="C277" s="34"/>
    </row>
    <row r="278" ht="12.75">
      <c r="C278" s="34"/>
    </row>
    <row r="279" ht="12.75">
      <c r="C279" s="34"/>
    </row>
    <row r="280" ht="12.75">
      <c r="C280" s="34"/>
    </row>
    <row r="281" ht="12.75">
      <c r="C281" s="34"/>
    </row>
    <row r="282" ht="12.75">
      <c r="C282" s="34"/>
    </row>
    <row r="283" ht="12.75">
      <c r="C283" s="34"/>
    </row>
    <row r="284" ht="12.75">
      <c r="C284" s="34"/>
    </row>
    <row r="285" ht="12.75">
      <c r="C285" s="34"/>
    </row>
    <row r="286" ht="12.75">
      <c r="C286" s="34"/>
    </row>
    <row r="287" ht="12.75">
      <c r="C287" s="34"/>
    </row>
  </sheetData>
  <mergeCells count="26">
    <mergeCell ref="C12:C13"/>
    <mergeCell ref="D12:G12"/>
    <mergeCell ref="F1:K1"/>
    <mergeCell ref="G4:K4"/>
    <mergeCell ref="G5:K5"/>
    <mergeCell ref="G6:K6"/>
    <mergeCell ref="I147:I148"/>
    <mergeCell ref="J147:J148"/>
    <mergeCell ref="A8:K8"/>
    <mergeCell ref="A9:K9"/>
    <mergeCell ref="H10:K10"/>
    <mergeCell ref="A11:A13"/>
    <mergeCell ref="B11:B13"/>
    <mergeCell ref="C11:G11"/>
    <mergeCell ref="H11:J11"/>
    <mergeCell ref="K11:K13"/>
    <mergeCell ref="K147:K148"/>
    <mergeCell ref="A160:B160"/>
    <mergeCell ref="H12:H13"/>
    <mergeCell ref="J12:J13"/>
    <mergeCell ref="C147:C148"/>
    <mergeCell ref="D147:D148"/>
    <mergeCell ref="E147:E148"/>
    <mergeCell ref="F147:F148"/>
    <mergeCell ref="G147:G148"/>
    <mergeCell ref="H147:H148"/>
  </mergeCells>
  <printOptions/>
  <pageMargins left="0.75" right="0.27" top="0.53" bottom="0.5" header="0.5" footer="0.5"/>
  <pageSetup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dimension ref="A1:AG187"/>
  <sheetViews>
    <sheetView view="pageBreakPreview" zoomScale="75" zoomScaleNormal="75" zoomScaleSheetLayoutView="75" workbookViewId="0" topLeftCell="F10">
      <selection activeCell="H60" sqref="H60"/>
    </sheetView>
  </sheetViews>
  <sheetFormatPr defaultColWidth="9.00390625" defaultRowHeight="12.75"/>
  <cols>
    <col min="1" max="1" width="18.125" style="3" customWidth="1"/>
    <col min="2" max="2" width="12.375" style="3" customWidth="1"/>
    <col min="3" max="3" width="66.375" style="3" customWidth="1"/>
    <col min="4" max="4" width="64.375" style="3" customWidth="1"/>
    <col min="5" max="5" width="31.875" style="3" customWidth="1"/>
    <col min="6" max="6" width="12.375" style="3" customWidth="1"/>
    <col min="7" max="7" width="9.375" style="3" customWidth="1"/>
    <col min="8" max="8" width="8.875" style="3" customWidth="1"/>
    <col min="9" max="9" width="9.875" style="3" customWidth="1"/>
    <col min="10" max="10" width="16.375" style="3" customWidth="1"/>
    <col min="11" max="11" width="10.875" style="3" customWidth="1"/>
    <col min="12" max="12" width="9.375" style="3" customWidth="1"/>
    <col min="13" max="13" width="13.375" style="6" customWidth="1"/>
    <col min="14" max="14" width="14.00390625" style="131" customWidth="1"/>
    <col min="15" max="16384" width="9.125" style="3" customWidth="1"/>
  </cols>
  <sheetData>
    <row r="1" spans="13:14" ht="15.75">
      <c r="M1" s="375" t="s">
        <v>66</v>
      </c>
      <c r="N1" s="375"/>
    </row>
    <row r="2" spans="13:14" ht="15.75">
      <c r="M2" s="375" t="s">
        <v>194</v>
      </c>
      <c r="N2" s="375"/>
    </row>
    <row r="3" spans="13:14" ht="15.75">
      <c r="M3" s="375" t="s">
        <v>119</v>
      </c>
      <c r="N3" s="375"/>
    </row>
    <row r="4" spans="1:12" ht="15" customHeight="1">
      <c r="A4" s="386" t="s">
        <v>192</v>
      </c>
      <c r="B4" s="386"/>
      <c r="C4" s="386"/>
      <c r="D4" s="386"/>
      <c r="E4" s="386"/>
      <c r="F4" s="386"/>
      <c r="G4" s="386"/>
      <c r="H4" s="386"/>
      <c r="I4" s="386"/>
      <c r="J4" s="386"/>
      <c r="K4" s="132"/>
      <c r="L4" s="132"/>
    </row>
    <row r="5" spans="1:12" ht="15" customHeight="1">
      <c r="A5" s="386"/>
      <c r="B5" s="386"/>
      <c r="C5" s="386"/>
      <c r="D5" s="386"/>
      <c r="E5" s="386"/>
      <c r="F5" s="386"/>
      <c r="G5" s="386"/>
      <c r="H5" s="386"/>
      <c r="I5" s="386"/>
      <c r="J5" s="386"/>
      <c r="K5" s="132"/>
      <c r="L5" s="132"/>
    </row>
    <row r="6" spans="1:14" ht="12.75" customHeight="1" thickBot="1">
      <c r="A6" s="133"/>
      <c r="B6" s="133"/>
      <c r="C6" s="133"/>
      <c r="D6" s="133"/>
      <c r="E6" s="133"/>
      <c r="F6" s="133"/>
      <c r="G6" s="133"/>
      <c r="H6" s="133"/>
      <c r="I6" s="133"/>
      <c r="J6" s="133"/>
      <c r="L6" s="134"/>
      <c r="N6" s="134" t="s">
        <v>380</v>
      </c>
    </row>
    <row r="7" spans="1:14" ht="12.75" customHeight="1" thickBot="1">
      <c r="A7" s="380" t="s">
        <v>67</v>
      </c>
      <c r="B7" s="382" t="s">
        <v>286</v>
      </c>
      <c r="C7" s="383"/>
      <c r="D7" s="382"/>
      <c r="E7" s="382"/>
      <c r="F7" s="382"/>
      <c r="G7" s="382"/>
      <c r="H7" s="382"/>
      <c r="I7" s="382"/>
      <c r="J7" s="382"/>
      <c r="K7" s="377" t="s">
        <v>68</v>
      </c>
      <c r="L7" s="377" t="s">
        <v>69</v>
      </c>
      <c r="M7" s="164"/>
      <c r="N7" s="372" t="s">
        <v>70</v>
      </c>
    </row>
    <row r="8" spans="1:14" s="135" customFormat="1" ht="16.5" customHeight="1" thickBot="1">
      <c r="A8" s="376"/>
      <c r="B8" s="377" t="s">
        <v>96</v>
      </c>
      <c r="C8" s="377" t="s">
        <v>99</v>
      </c>
      <c r="D8" s="377" t="s">
        <v>99</v>
      </c>
      <c r="E8" s="377" t="s">
        <v>107</v>
      </c>
      <c r="F8" s="384" t="s">
        <v>287</v>
      </c>
      <c r="G8" s="384"/>
      <c r="H8" s="384"/>
      <c r="I8" s="384"/>
      <c r="J8" s="385"/>
      <c r="K8" s="378"/>
      <c r="L8" s="378"/>
      <c r="M8" s="376" t="s">
        <v>88</v>
      </c>
      <c r="N8" s="373"/>
    </row>
    <row r="9" spans="1:14" s="135" customFormat="1" ht="104.25" customHeight="1" thickBot="1">
      <c r="A9" s="376"/>
      <c r="B9" s="378"/>
      <c r="C9" s="378"/>
      <c r="D9" s="378"/>
      <c r="E9" s="378"/>
      <c r="F9" s="377" t="s">
        <v>288</v>
      </c>
      <c r="G9" s="377" t="s">
        <v>289</v>
      </c>
      <c r="H9" s="384" t="s">
        <v>89</v>
      </c>
      <c r="I9" s="384"/>
      <c r="J9" s="377" t="s">
        <v>90</v>
      </c>
      <c r="K9" s="378"/>
      <c r="L9" s="378"/>
      <c r="M9" s="376"/>
      <c r="N9" s="373"/>
    </row>
    <row r="10" spans="1:14" s="135" customFormat="1" ht="192" customHeight="1">
      <c r="A10" s="376"/>
      <c r="B10" s="378"/>
      <c r="C10" s="167" t="s">
        <v>100</v>
      </c>
      <c r="D10" s="167" t="s">
        <v>102</v>
      </c>
      <c r="E10" s="378"/>
      <c r="F10" s="378"/>
      <c r="G10" s="378"/>
      <c r="H10" s="377" t="s">
        <v>290</v>
      </c>
      <c r="I10" s="377" t="s">
        <v>291</v>
      </c>
      <c r="J10" s="378"/>
      <c r="K10" s="378"/>
      <c r="L10" s="378"/>
      <c r="M10" s="376"/>
      <c r="N10" s="373"/>
    </row>
    <row r="11" spans="1:14" s="135" customFormat="1" ht="31.5" customHeight="1" thickBot="1">
      <c r="A11" s="381"/>
      <c r="B11" s="379"/>
      <c r="C11" s="168" t="s">
        <v>101</v>
      </c>
      <c r="D11" s="168" t="s">
        <v>103</v>
      </c>
      <c r="E11" s="379"/>
      <c r="F11" s="379"/>
      <c r="G11" s="379"/>
      <c r="H11" s="379"/>
      <c r="I11" s="379"/>
      <c r="J11" s="379"/>
      <c r="K11" s="379"/>
      <c r="L11" s="379"/>
      <c r="M11" s="136"/>
      <c r="N11" s="374"/>
    </row>
    <row r="12" spans="1:33" s="144" customFormat="1" ht="15.75">
      <c r="A12" s="137" t="s">
        <v>292</v>
      </c>
      <c r="B12" s="138">
        <v>1555.8</v>
      </c>
      <c r="C12" s="292">
        <v>1189.9</v>
      </c>
      <c r="D12" s="138">
        <v>205.3</v>
      </c>
      <c r="E12" s="138">
        <f aca="true" t="shared" si="0" ref="E12:E19">G12+F12+I12+J12</f>
        <v>745.9999999999999</v>
      </c>
      <c r="F12" s="139">
        <v>543.9</v>
      </c>
      <c r="G12" s="139">
        <v>85.3</v>
      </c>
      <c r="H12" s="140"/>
      <c r="I12" s="139"/>
      <c r="J12" s="138">
        <v>116.8</v>
      </c>
      <c r="K12" s="141"/>
      <c r="L12" s="142"/>
      <c r="M12" s="139"/>
      <c r="N12" s="160">
        <f aca="true" t="shared" si="1" ref="N12:N57">B12+C12+D12+E12+K12+M12+L12</f>
        <v>3697</v>
      </c>
      <c r="O12" s="143"/>
      <c r="P12" s="143"/>
      <c r="Q12" s="143"/>
      <c r="R12" s="143"/>
      <c r="S12" s="143"/>
      <c r="T12" s="143"/>
      <c r="U12" s="143"/>
      <c r="V12" s="143"/>
      <c r="W12" s="143"/>
      <c r="X12" s="143"/>
      <c r="Y12" s="143"/>
      <c r="Z12" s="143"/>
      <c r="AA12" s="143"/>
      <c r="AB12" s="143"/>
      <c r="AC12" s="143"/>
      <c r="AD12" s="143"/>
      <c r="AE12" s="143"/>
      <c r="AF12" s="143"/>
      <c r="AG12" s="143"/>
    </row>
    <row r="13" spans="1:33" s="144" customFormat="1" ht="15.75">
      <c r="A13" s="145" t="s">
        <v>293</v>
      </c>
      <c r="B13" s="43">
        <v>6760.1</v>
      </c>
      <c r="C13" s="293">
        <v>8360.5</v>
      </c>
      <c r="D13" s="43">
        <v>401.4</v>
      </c>
      <c r="E13" s="138">
        <f t="shared" si="0"/>
        <v>2204.9</v>
      </c>
      <c r="F13" s="43">
        <v>1421.2</v>
      </c>
      <c r="G13" s="43">
        <v>507.2</v>
      </c>
      <c r="H13" s="147"/>
      <c r="I13" s="43"/>
      <c r="J13" s="43">
        <v>276.5</v>
      </c>
      <c r="K13" s="148"/>
      <c r="L13" s="149"/>
      <c r="M13" s="43"/>
      <c r="N13" s="161">
        <f t="shared" si="1"/>
        <v>17726.9</v>
      </c>
      <c r="O13" s="143"/>
      <c r="P13" s="143"/>
      <c r="Q13" s="143"/>
      <c r="R13" s="143"/>
      <c r="S13" s="143"/>
      <c r="T13" s="143"/>
      <c r="U13" s="143"/>
      <c r="V13" s="143"/>
      <c r="W13" s="143"/>
      <c r="X13" s="143"/>
      <c r="Y13" s="143"/>
      <c r="Z13" s="143"/>
      <c r="AA13" s="143"/>
      <c r="AB13" s="143"/>
      <c r="AC13" s="143"/>
      <c r="AD13" s="143"/>
      <c r="AE13" s="143"/>
      <c r="AF13" s="143"/>
      <c r="AG13" s="143"/>
    </row>
    <row r="14" spans="1:33" s="144" customFormat="1" ht="15.75">
      <c r="A14" s="145" t="s">
        <v>294</v>
      </c>
      <c r="B14" s="43">
        <v>21295.9</v>
      </c>
      <c r="C14" s="293">
        <v>15938.3</v>
      </c>
      <c r="D14" s="43">
        <v>633.5</v>
      </c>
      <c r="E14" s="138">
        <f t="shared" si="0"/>
        <v>4757.5</v>
      </c>
      <c r="F14" s="43">
        <v>2919.5</v>
      </c>
      <c r="G14" s="43">
        <v>855</v>
      </c>
      <c r="H14" s="147"/>
      <c r="I14" s="43"/>
      <c r="J14" s="43">
        <v>983</v>
      </c>
      <c r="K14" s="148"/>
      <c r="L14" s="150">
        <f>524.8+101.3</f>
        <v>626.0999999999999</v>
      </c>
      <c r="M14" s="43"/>
      <c r="N14" s="161">
        <f>B14+C14+D14+E14+K14+M14+L14</f>
        <v>43251.299999999996</v>
      </c>
      <c r="O14" s="143"/>
      <c r="P14" s="143"/>
      <c r="Q14" s="143"/>
      <c r="R14" s="143"/>
      <c r="S14" s="143"/>
      <c r="T14" s="143"/>
      <c r="U14" s="143"/>
      <c r="V14" s="143"/>
      <c r="W14" s="143"/>
      <c r="X14" s="143"/>
      <c r="Y14" s="143"/>
      <c r="Z14" s="143"/>
      <c r="AA14" s="143"/>
      <c r="AB14" s="143"/>
      <c r="AC14" s="143"/>
      <c r="AD14" s="143"/>
      <c r="AE14" s="143"/>
      <c r="AF14" s="143"/>
      <c r="AG14" s="143"/>
    </row>
    <row r="15" spans="1:33" s="144" customFormat="1" ht="15.75">
      <c r="A15" s="145" t="s">
        <v>295</v>
      </c>
      <c r="B15" s="43">
        <v>4247.8</v>
      </c>
      <c r="C15" s="293">
        <v>2061.5</v>
      </c>
      <c r="D15" s="43">
        <v>506.5</v>
      </c>
      <c r="E15" s="138">
        <f t="shared" si="0"/>
        <v>585.7</v>
      </c>
      <c r="F15" s="43">
        <v>43.6</v>
      </c>
      <c r="G15" s="43">
        <v>143.6</v>
      </c>
      <c r="H15" s="147"/>
      <c r="I15" s="43">
        <v>118</v>
      </c>
      <c r="J15" s="43">
        <v>280.5</v>
      </c>
      <c r="K15" s="148"/>
      <c r="L15" s="149"/>
      <c r="M15" s="43"/>
      <c r="N15" s="161">
        <f t="shared" si="1"/>
        <v>7401.5</v>
      </c>
      <c r="O15" s="143"/>
      <c r="P15" s="143"/>
      <c r="Q15" s="143"/>
      <c r="R15" s="143"/>
      <c r="S15" s="143"/>
      <c r="T15" s="143"/>
      <c r="U15" s="143"/>
      <c r="V15" s="143"/>
      <c r="W15" s="143"/>
      <c r="X15" s="143"/>
      <c r="Y15" s="143"/>
      <c r="Z15" s="143"/>
      <c r="AA15" s="143"/>
      <c r="AB15" s="143"/>
      <c r="AC15" s="143"/>
      <c r="AD15" s="143"/>
      <c r="AE15" s="143"/>
      <c r="AF15" s="143"/>
      <c r="AG15" s="143"/>
    </row>
    <row r="16" spans="1:33" s="144" customFormat="1" ht="15.75">
      <c r="A16" s="145" t="s">
        <v>296</v>
      </c>
      <c r="B16" s="43">
        <v>4660.1</v>
      </c>
      <c r="C16" s="293">
        <v>3674.5</v>
      </c>
      <c r="D16" s="43">
        <v>209.1</v>
      </c>
      <c r="E16" s="138">
        <f t="shared" si="0"/>
        <v>914.8</v>
      </c>
      <c r="F16" s="43">
        <v>535.3</v>
      </c>
      <c r="G16" s="43">
        <v>132.5</v>
      </c>
      <c r="H16" s="147"/>
      <c r="I16" s="43"/>
      <c r="J16" s="43">
        <v>247</v>
      </c>
      <c r="K16" s="148"/>
      <c r="L16" s="149"/>
      <c r="M16" s="43"/>
      <c r="N16" s="161">
        <f t="shared" si="1"/>
        <v>9458.5</v>
      </c>
      <c r="O16" s="143"/>
      <c r="P16" s="143"/>
      <c r="Q16" s="143"/>
      <c r="R16" s="143"/>
      <c r="S16" s="143"/>
      <c r="T16" s="143"/>
      <c r="U16" s="143"/>
      <c r="V16" s="143"/>
      <c r="W16" s="143"/>
      <c r="X16" s="143"/>
      <c r="Y16" s="143"/>
      <c r="Z16" s="143"/>
      <c r="AA16" s="143"/>
      <c r="AB16" s="143"/>
      <c r="AC16" s="143"/>
      <c r="AD16" s="143"/>
      <c r="AE16" s="143"/>
      <c r="AF16" s="143"/>
      <c r="AG16" s="143"/>
    </row>
    <row r="17" spans="1:33" s="144" customFormat="1" ht="15.75">
      <c r="A17" s="145" t="s">
        <v>297</v>
      </c>
      <c r="B17" s="43">
        <v>3474</v>
      </c>
      <c r="C17" s="293">
        <v>1292.7</v>
      </c>
      <c r="D17" s="43">
        <v>146.3</v>
      </c>
      <c r="E17" s="138">
        <f t="shared" si="0"/>
        <v>282.7</v>
      </c>
      <c r="F17" s="43">
        <v>78.7</v>
      </c>
      <c r="G17" s="43">
        <v>97</v>
      </c>
      <c r="H17" s="147"/>
      <c r="I17" s="43"/>
      <c r="J17" s="43">
        <v>107</v>
      </c>
      <c r="K17" s="148"/>
      <c r="L17" s="149"/>
      <c r="M17" s="43"/>
      <c r="N17" s="161">
        <f t="shared" si="1"/>
        <v>5195.7</v>
      </c>
      <c r="O17" s="143"/>
      <c r="P17" s="143"/>
      <c r="Q17" s="143"/>
      <c r="R17" s="143"/>
      <c r="S17" s="143"/>
      <c r="T17" s="143"/>
      <c r="U17" s="143"/>
      <c r="V17" s="143"/>
      <c r="W17" s="143"/>
      <c r="X17" s="143"/>
      <c r="Y17" s="143"/>
      <c r="Z17" s="143"/>
      <c r="AA17" s="143"/>
      <c r="AB17" s="143"/>
      <c r="AC17" s="143"/>
      <c r="AD17" s="143"/>
      <c r="AE17" s="143"/>
      <c r="AF17" s="143"/>
      <c r="AG17" s="143"/>
    </row>
    <row r="18" spans="1:33" s="144" customFormat="1" ht="15.75">
      <c r="A18" s="145" t="s">
        <v>298</v>
      </c>
      <c r="B18" s="43">
        <v>3503.1</v>
      </c>
      <c r="C18" s="293">
        <v>1341.4</v>
      </c>
      <c r="D18" s="43">
        <v>118.6</v>
      </c>
      <c r="E18" s="138">
        <f t="shared" si="0"/>
        <v>389.2</v>
      </c>
      <c r="F18" s="43">
        <v>119.7</v>
      </c>
      <c r="G18" s="43">
        <v>125.3</v>
      </c>
      <c r="H18" s="147"/>
      <c r="I18" s="43"/>
      <c r="J18" s="43">
        <v>144.2</v>
      </c>
      <c r="K18" s="148"/>
      <c r="L18" s="149"/>
      <c r="M18" s="43"/>
      <c r="N18" s="161">
        <f t="shared" si="1"/>
        <v>5352.3</v>
      </c>
      <c r="O18" s="143"/>
      <c r="P18" s="143"/>
      <c r="Q18" s="143"/>
      <c r="R18" s="143"/>
      <c r="S18" s="143"/>
      <c r="T18" s="143"/>
      <c r="U18" s="143"/>
      <c r="V18" s="143"/>
      <c r="W18" s="143"/>
      <c r="X18" s="143"/>
      <c r="Y18" s="143"/>
      <c r="Z18" s="143"/>
      <c r="AA18" s="143"/>
      <c r="AB18" s="143"/>
      <c r="AC18" s="143"/>
      <c r="AD18" s="143"/>
      <c r="AE18" s="143"/>
      <c r="AF18" s="143"/>
      <c r="AG18" s="143"/>
    </row>
    <row r="19" spans="1:33" s="144" customFormat="1" ht="15.75">
      <c r="A19" s="145" t="s">
        <v>299</v>
      </c>
      <c r="B19" s="43">
        <v>1314.8</v>
      </c>
      <c r="C19" s="293">
        <v>2170.6</v>
      </c>
      <c r="D19" s="43">
        <v>12</v>
      </c>
      <c r="E19" s="138">
        <f t="shared" si="0"/>
        <v>263</v>
      </c>
      <c r="F19" s="43">
        <v>34.5</v>
      </c>
      <c r="G19" s="43">
        <v>109.4</v>
      </c>
      <c r="H19" s="147"/>
      <c r="I19" s="43"/>
      <c r="J19" s="43">
        <v>119.1</v>
      </c>
      <c r="K19" s="148"/>
      <c r="L19" s="149"/>
      <c r="M19" s="43"/>
      <c r="N19" s="161">
        <f t="shared" si="1"/>
        <v>3760.3999999999996</v>
      </c>
      <c r="O19" s="143"/>
      <c r="P19" s="143"/>
      <c r="Q19" s="143"/>
      <c r="R19" s="143"/>
      <c r="S19" s="143"/>
      <c r="T19" s="143"/>
      <c r="U19" s="143"/>
      <c r="V19" s="143"/>
      <c r="W19" s="143"/>
      <c r="X19" s="143"/>
      <c r="Y19" s="143"/>
      <c r="Z19" s="143"/>
      <c r="AA19" s="143"/>
      <c r="AB19" s="143"/>
      <c r="AC19" s="143"/>
      <c r="AD19" s="143"/>
      <c r="AE19" s="143"/>
      <c r="AF19" s="143"/>
      <c r="AG19" s="143"/>
    </row>
    <row r="20" spans="1:33" s="144" customFormat="1" ht="16.5" customHeight="1">
      <c r="A20" s="145" t="s">
        <v>300</v>
      </c>
      <c r="B20" s="43">
        <v>39195.7</v>
      </c>
      <c r="C20" s="293">
        <v>39997.5</v>
      </c>
      <c r="D20" s="43">
        <v>878.9</v>
      </c>
      <c r="E20" s="138">
        <f>G20+F20+I20+J20+H20</f>
        <v>25471.300000000003</v>
      </c>
      <c r="F20" s="43">
        <v>18691.9</v>
      </c>
      <c r="G20" s="43">
        <v>3428.6</v>
      </c>
      <c r="H20" s="146">
        <v>177.4</v>
      </c>
      <c r="I20" s="43"/>
      <c r="J20" s="43">
        <v>3173.4</v>
      </c>
      <c r="K20" s="148"/>
      <c r="L20" s="149"/>
      <c r="M20" s="43"/>
      <c r="N20" s="161">
        <f t="shared" si="1"/>
        <v>105543.4</v>
      </c>
      <c r="O20" s="143"/>
      <c r="P20" s="143"/>
      <c r="Q20" s="143"/>
      <c r="R20" s="143"/>
      <c r="S20" s="143"/>
      <c r="T20" s="143"/>
      <c r="U20" s="143"/>
      <c r="V20" s="143"/>
      <c r="W20" s="143"/>
      <c r="X20" s="143"/>
      <c r="Y20" s="143"/>
      <c r="Z20" s="143"/>
      <c r="AA20" s="143"/>
      <c r="AB20" s="143"/>
      <c r="AC20" s="143"/>
      <c r="AD20" s="143"/>
      <c r="AE20" s="143"/>
      <c r="AF20" s="143"/>
      <c r="AG20" s="143"/>
    </row>
    <row r="21" spans="1:33" s="144" customFormat="1" ht="15.75">
      <c r="A21" s="145" t="s">
        <v>301</v>
      </c>
      <c r="B21" s="43">
        <v>5357</v>
      </c>
      <c r="C21" s="293">
        <v>5208.2</v>
      </c>
      <c r="D21" s="43">
        <v>211.5</v>
      </c>
      <c r="E21" s="138">
        <f aca="true" t="shared" si="2" ref="E21:E56">G21+F21+I21+J21</f>
        <v>1824.1</v>
      </c>
      <c r="F21" s="43">
        <v>1251.9</v>
      </c>
      <c r="G21" s="43">
        <v>230.8</v>
      </c>
      <c r="H21" s="147"/>
      <c r="I21" s="43"/>
      <c r="J21" s="43">
        <v>341.4</v>
      </c>
      <c r="K21" s="148"/>
      <c r="L21" s="149"/>
      <c r="M21" s="43"/>
      <c r="N21" s="161">
        <f t="shared" si="1"/>
        <v>12600.800000000001</v>
      </c>
      <c r="O21" s="143"/>
      <c r="P21" s="143"/>
      <c r="Q21" s="143"/>
      <c r="R21" s="143"/>
      <c r="S21" s="143"/>
      <c r="T21" s="143"/>
      <c r="U21" s="143"/>
      <c r="V21" s="143"/>
      <c r="W21" s="143"/>
      <c r="X21" s="143"/>
      <c r="Y21" s="143"/>
      <c r="Z21" s="143"/>
      <c r="AA21" s="143"/>
      <c r="AB21" s="143"/>
      <c r="AC21" s="143"/>
      <c r="AD21" s="143"/>
      <c r="AE21" s="143"/>
      <c r="AF21" s="143"/>
      <c r="AG21" s="143"/>
    </row>
    <row r="22" spans="1:33" s="144" customFormat="1" ht="15.75">
      <c r="A22" s="145" t="s">
        <v>302</v>
      </c>
      <c r="B22" s="43">
        <v>7776.8</v>
      </c>
      <c r="C22" s="293">
        <v>8476.2</v>
      </c>
      <c r="D22" s="43">
        <v>368.5</v>
      </c>
      <c r="E22" s="138">
        <f t="shared" si="2"/>
        <v>2797.3999999999996</v>
      </c>
      <c r="F22" s="43">
        <v>2074.7</v>
      </c>
      <c r="G22" s="43">
        <v>457.1</v>
      </c>
      <c r="H22" s="147"/>
      <c r="I22" s="43"/>
      <c r="J22" s="43">
        <v>265.6</v>
      </c>
      <c r="K22" s="148"/>
      <c r="L22" s="149"/>
      <c r="M22" s="43"/>
      <c r="N22" s="161">
        <f t="shared" si="1"/>
        <v>19418.9</v>
      </c>
      <c r="O22" s="143"/>
      <c r="P22" s="143"/>
      <c r="Q22" s="143"/>
      <c r="R22" s="143"/>
      <c r="S22" s="143"/>
      <c r="T22" s="143"/>
      <c r="U22" s="143"/>
      <c r="V22" s="143"/>
      <c r="W22" s="143"/>
      <c r="X22" s="143"/>
      <c r="Y22" s="143"/>
      <c r="Z22" s="143"/>
      <c r="AA22" s="143"/>
      <c r="AB22" s="143"/>
      <c r="AC22" s="143"/>
      <c r="AD22" s="143"/>
      <c r="AE22" s="143"/>
      <c r="AF22" s="143"/>
      <c r="AG22" s="143"/>
    </row>
    <row r="23" spans="1:33" s="144" customFormat="1" ht="15.75">
      <c r="A23" s="145" t="s">
        <v>303</v>
      </c>
      <c r="B23" s="43">
        <v>653.3</v>
      </c>
      <c r="C23" s="293">
        <v>516.5</v>
      </c>
      <c r="D23" s="43">
        <v>7.5</v>
      </c>
      <c r="E23" s="138">
        <f t="shared" si="2"/>
        <v>75.8</v>
      </c>
      <c r="F23" s="43">
        <v>20.9</v>
      </c>
      <c r="G23" s="43">
        <v>23</v>
      </c>
      <c r="H23" s="147"/>
      <c r="I23" s="43"/>
      <c r="J23" s="43">
        <v>31.9</v>
      </c>
      <c r="K23" s="43"/>
      <c r="L23" s="150"/>
      <c r="M23" s="43"/>
      <c r="N23" s="161">
        <f t="shared" si="1"/>
        <v>1253.1</v>
      </c>
      <c r="O23" s="143"/>
      <c r="P23" s="143"/>
      <c r="Q23" s="143"/>
      <c r="R23" s="143"/>
      <c r="S23" s="143"/>
      <c r="T23" s="143"/>
      <c r="U23" s="143"/>
      <c r="V23" s="143"/>
      <c r="W23" s="143"/>
      <c r="X23" s="143"/>
      <c r="Y23" s="143"/>
      <c r="Z23" s="143"/>
      <c r="AA23" s="143"/>
      <c r="AB23" s="143"/>
      <c r="AC23" s="143"/>
      <c r="AD23" s="143"/>
      <c r="AE23" s="143"/>
      <c r="AF23" s="143"/>
      <c r="AG23" s="143"/>
    </row>
    <row r="24" spans="1:33" s="144" customFormat="1" ht="15.75">
      <c r="A24" s="145" t="s">
        <v>91</v>
      </c>
      <c r="B24" s="43">
        <v>1272.3</v>
      </c>
      <c r="C24" s="293">
        <v>535.8</v>
      </c>
      <c r="D24" s="43">
        <v>13.2</v>
      </c>
      <c r="E24" s="138">
        <f t="shared" si="2"/>
        <v>94.1</v>
      </c>
      <c r="F24" s="43">
        <v>0</v>
      </c>
      <c r="G24" s="43">
        <v>49</v>
      </c>
      <c r="H24" s="147"/>
      <c r="I24" s="43"/>
      <c r="J24" s="43">
        <v>45.1</v>
      </c>
      <c r="K24" s="148"/>
      <c r="L24" s="149"/>
      <c r="M24" s="43"/>
      <c r="N24" s="161">
        <f t="shared" si="1"/>
        <v>1915.3999999999999</v>
      </c>
      <c r="O24" s="143"/>
      <c r="P24" s="143"/>
      <c r="Q24" s="143"/>
      <c r="R24" s="143"/>
      <c r="S24" s="143"/>
      <c r="T24" s="143"/>
      <c r="U24" s="143"/>
      <c r="V24" s="143"/>
      <c r="W24" s="143"/>
      <c r="X24" s="143"/>
      <c r="Y24" s="143"/>
      <c r="Z24" s="143"/>
      <c r="AA24" s="143"/>
      <c r="AB24" s="143"/>
      <c r="AC24" s="143"/>
      <c r="AD24" s="143"/>
      <c r="AE24" s="143"/>
      <c r="AF24" s="143"/>
      <c r="AG24" s="143"/>
    </row>
    <row r="25" spans="1:33" s="144" customFormat="1" ht="15.75">
      <c r="A25" s="145" t="s">
        <v>304</v>
      </c>
      <c r="B25" s="43">
        <v>6409</v>
      </c>
      <c r="C25" s="293">
        <v>7081.3</v>
      </c>
      <c r="D25" s="43">
        <v>71.2</v>
      </c>
      <c r="E25" s="138">
        <f t="shared" si="2"/>
        <v>912.8</v>
      </c>
      <c r="F25" s="43">
        <v>328.9</v>
      </c>
      <c r="G25" s="43">
        <v>300.9</v>
      </c>
      <c r="H25" s="147"/>
      <c r="I25" s="43"/>
      <c r="J25" s="43">
        <v>283</v>
      </c>
      <c r="K25" s="148"/>
      <c r="L25" s="149"/>
      <c r="M25" s="43"/>
      <c r="N25" s="161">
        <f t="shared" si="1"/>
        <v>14474.3</v>
      </c>
      <c r="O25" s="143"/>
      <c r="P25" s="143"/>
      <c r="Q25" s="143"/>
      <c r="R25" s="143"/>
      <c r="S25" s="143"/>
      <c r="T25" s="143"/>
      <c r="U25" s="143"/>
      <c r="V25" s="143"/>
      <c r="W25" s="143"/>
      <c r="X25" s="143"/>
      <c r="Y25" s="143"/>
      <c r="Z25" s="143"/>
      <c r="AA25" s="143"/>
      <c r="AB25" s="143"/>
      <c r="AC25" s="143"/>
      <c r="AD25" s="143"/>
      <c r="AE25" s="143"/>
      <c r="AF25" s="143"/>
      <c r="AG25" s="143"/>
    </row>
    <row r="26" spans="1:33" s="144" customFormat="1" ht="15.75">
      <c r="A26" s="145" t="s">
        <v>305</v>
      </c>
      <c r="B26" s="43">
        <v>15325.2</v>
      </c>
      <c r="C26" s="293">
        <v>13568.6</v>
      </c>
      <c r="D26" s="43">
        <v>363.3</v>
      </c>
      <c r="E26" s="138">
        <f t="shared" si="2"/>
        <v>8900.9</v>
      </c>
      <c r="F26" s="43">
        <v>7362.5</v>
      </c>
      <c r="G26" s="43">
        <v>866.9</v>
      </c>
      <c r="H26" s="147"/>
      <c r="I26" s="43"/>
      <c r="J26" s="43">
        <v>671.5</v>
      </c>
      <c r="K26" s="148"/>
      <c r="L26" s="149"/>
      <c r="M26" s="43"/>
      <c r="N26" s="161">
        <f t="shared" si="1"/>
        <v>38158</v>
      </c>
      <c r="O26" s="143"/>
      <c r="P26" s="143"/>
      <c r="Q26" s="143"/>
      <c r="R26" s="143"/>
      <c r="S26" s="143"/>
      <c r="T26" s="143"/>
      <c r="U26" s="143"/>
      <c r="V26" s="143"/>
      <c r="W26" s="143"/>
      <c r="X26" s="143"/>
      <c r="Y26" s="143"/>
      <c r="Z26" s="143"/>
      <c r="AA26" s="143"/>
      <c r="AB26" s="143"/>
      <c r="AC26" s="143"/>
      <c r="AD26" s="143"/>
      <c r="AE26" s="143"/>
      <c r="AF26" s="143"/>
      <c r="AG26" s="143"/>
    </row>
    <row r="27" spans="1:33" s="144" customFormat="1" ht="15.75">
      <c r="A27" s="145" t="s">
        <v>306</v>
      </c>
      <c r="B27" s="43">
        <v>3476.1</v>
      </c>
      <c r="C27" s="293">
        <v>2535.1</v>
      </c>
      <c r="D27" s="43">
        <v>330</v>
      </c>
      <c r="E27" s="138">
        <f t="shared" si="2"/>
        <v>536.8</v>
      </c>
      <c r="F27" s="43">
        <v>109.1</v>
      </c>
      <c r="G27" s="43">
        <v>234.6</v>
      </c>
      <c r="H27" s="147"/>
      <c r="I27" s="43"/>
      <c r="J27" s="43">
        <v>193.1</v>
      </c>
      <c r="K27" s="148"/>
      <c r="L27" s="149"/>
      <c r="M27" s="43"/>
      <c r="N27" s="161">
        <f t="shared" si="1"/>
        <v>6878</v>
      </c>
      <c r="O27" s="143"/>
      <c r="P27" s="143"/>
      <c r="Q27" s="143"/>
      <c r="R27" s="143"/>
      <c r="S27" s="143"/>
      <c r="T27" s="143"/>
      <c r="U27" s="143"/>
      <c r="V27" s="143"/>
      <c r="W27" s="143"/>
      <c r="X27" s="143"/>
      <c r="Y27" s="143"/>
      <c r="Z27" s="143"/>
      <c r="AA27" s="143"/>
      <c r="AB27" s="143"/>
      <c r="AC27" s="143"/>
      <c r="AD27" s="143"/>
      <c r="AE27" s="143"/>
      <c r="AF27" s="143"/>
      <c r="AG27" s="143"/>
    </row>
    <row r="28" spans="1:33" s="144" customFormat="1" ht="15.75">
      <c r="A28" s="145" t="s">
        <v>307</v>
      </c>
      <c r="B28" s="43">
        <v>4987.2</v>
      </c>
      <c r="C28" s="293">
        <v>1527.4</v>
      </c>
      <c r="D28" s="43">
        <v>1258.7</v>
      </c>
      <c r="E28" s="138">
        <f t="shared" si="2"/>
        <v>1024</v>
      </c>
      <c r="F28" s="43">
        <v>56</v>
      </c>
      <c r="G28" s="43">
        <v>138.4</v>
      </c>
      <c r="H28" s="147"/>
      <c r="I28" s="43">
        <v>619.2</v>
      </c>
      <c r="J28" s="43">
        <v>210.4</v>
      </c>
      <c r="K28" s="148"/>
      <c r="L28" s="149"/>
      <c r="M28" s="43"/>
      <c r="N28" s="161">
        <f t="shared" si="1"/>
        <v>8797.3</v>
      </c>
      <c r="O28" s="143"/>
      <c r="P28" s="143"/>
      <c r="Q28" s="143"/>
      <c r="R28" s="143"/>
      <c r="S28" s="143"/>
      <c r="T28" s="143"/>
      <c r="U28" s="143"/>
      <c r="V28" s="143"/>
      <c r="W28" s="143"/>
      <c r="X28" s="143"/>
      <c r="Y28" s="143"/>
      <c r="Z28" s="143"/>
      <c r="AA28" s="143"/>
      <c r="AB28" s="143"/>
      <c r="AC28" s="143"/>
      <c r="AD28" s="143"/>
      <c r="AE28" s="143"/>
      <c r="AF28" s="143"/>
      <c r="AG28" s="143"/>
    </row>
    <row r="29" spans="1:33" s="144" customFormat="1" ht="15.75">
      <c r="A29" s="145" t="s">
        <v>308</v>
      </c>
      <c r="B29" s="43">
        <v>21812.1</v>
      </c>
      <c r="C29" s="293">
        <v>17578.8</v>
      </c>
      <c r="D29" s="43">
        <v>686.7</v>
      </c>
      <c r="E29" s="138">
        <f t="shared" si="2"/>
        <v>3266.7999999999997</v>
      </c>
      <c r="F29" s="43">
        <v>1638.9</v>
      </c>
      <c r="G29" s="43">
        <v>698.8</v>
      </c>
      <c r="H29" s="147"/>
      <c r="I29" s="43"/>
      <c r="J29" s="43">
        <v>929.1</v>
      </c>
      <c r="K29" s="148"/>
      <c r="L29" s="149"/>
      <c r="M29" s="43"/>
      <c r="N29" s="161">
        <f t="shared" si="1"/>
        <v>43344.399999999994</v>
      </c>
      <c r="O29" s="143"/>
      <c r="P29" s="143"/>
      <c r="Q29" s="143"/>
      <c r="R29" s="143"/>
      <c r="S29" s="143"/>
      <c r="T29" s="143"/>
      <c r="U29" s="143"/>
      <c r="V29" s="143"/>
      <c r="W29" s="143"/>
      <c r="X29" s="143"/>
      <c r="Y29" s="143"/>
      <c r="Z29" s="143"/>
      <c r="AA29" s="143"/>
      <c r="AB29" s="143"/>
      <c r="AC29" s="143"/>
      <c r="AD29" s="143"/>
      <c r="AE29" s="143"/>
      <c r="AF29" s="143"/>
      <c r="AG29" s="143"/>
    </row>
    <row r="30" spans="1:33" s="144" customFormat="1" ht="15.75">
      <c r="A30" s="145" t="s">
        <v>309</v>
      </c>
      <c r="B30" s="43">
        <v>17315.1</v>
      </c>
      <c r="C30" s="293">
        <v>19569.6</v>
      </c>
      <c r="D30" s="43">
        <v>271.9</v>
      </c>
      <c r="E30" s="138">
        <f t="shared" si="2"/>
        <v>9543.4</v>
      </c>
      <c r="F30" s="43">
        <v>6212.3</v>
      </c>
      <c r="G30" s="43">
        <v>2097.5</v>
      </c>
      <c r="H30" s="147"/>
      <c r="I30" s="43"/>
      <c r="J30" s="43">
        <v>1233.6</v>
      </c>
      <c r="K30" s="148"/>
      <c r="L30" s="149"/>
      <c r="M30" s="43"/>
      <c r="N30" s="161">
        <f t="shared" si="1"/>
        <v>46700</v>
      </c>
      <c r="O30" s="143"/>
      <c r="P30" s="143"/>
      <c r="Q30" s="143"/>
      <c r="R30" s="143"/>
      <c r="S30" s="143"/>
      <c r="T30" s="143"/>
      <c r="U30" s="143"/>
      <c r="V30" s="143"/>
      <c r="W30" s="143"/>
      <c r="X30" s="143"/>
      <c r="Y30" s="143"/>
      <c r="Z30" s="143"/>
      <c r="AA30" s="143"/>
      <c r="AB30" s="143"/>
      <c r="AC30" s="143"/>
      <c r="AD30" s="143"/>
      <c r="AE30" s="143"/>
      <c r="AF30" s="143"/>
      <c r="AG30" s="143"/>
    </row>
    <row r="31" spans="1:33" s="144" customFormat="1" ht="15.75">
      <c r="A31" s="145" t="s">
        <v>310</v>
      </c>
      <c r="B31" s="43">
        <v>886.9</v>
      </c>
      <c r="C31" s="293">
        <v>203.2</v>
      </c>
      <c r="D31" s="43">
        <v>26.7</v>
      </c>
      <c r="E31" s="138">
        <f t="shared" si="2"/>
        <v>80.9</v>
      </c>
      <c r="F31" s="43">
        <v>24.6</v>
      </c>
      <c r="G31" s="43">
        <v>26.1</v>
      </c>
      <c r="H31" s="147"/>
      <c r="I31" s="43"/>
      <c r="J31" s="43">
        <v>30.2</v>
      </c>
      <c r="K31" s="43"/>
      <c r="L31" s="150"/>
      <c r="M31" s="43"/>
      <c r="N31" s="161">
        <f t="shared" si="1"/>
        <v>1197.7</v>
      </c>
      <c r="O31" s="143"/>
      <c r="P31" s="143"/>
      <c r="Q31" s="143"/>
      <c r="R31" s="143"/>
      <c r="S31" s="143"/>
      <c r="T31" s="143"/>
      <c r="U31" s="143"/>
      <c r="V31" s="143"/>
      <c r="W31" s="143"/>
      <c r="X31" s="143"/>
      <c r="Y31" s="143"/>
      <c r="Z31" s="143"/>
      <c r="AA31" s="143"/>
      <c r="AB31" s="143"/>
      <c r="AC31" s="143"/>
      <c r="AD31" s="143"/>
      <c r="AE31" s="143"/>
      <c r="AF31" s="143"/>
      <c r="AG31" s="143"/>
    </row>
    <row r="32" spans="1:33" s="144" customFormat="1" ht="15.75">
      <c r="A32" s="145" t="s">
        <v>311</v>
      </c>
      <c r="B32" s="43">
        <v>2844.6</v>
      </c>
      <c r="C32" s="293">
        <v>776.4</v>
      </c>
      <c r="D32" s="43">
        <v>287.5</v>
      </c>
      <c r="E32" s="138">
        <f t="shared" si="2"/>
        <v>474.79999999999995</v>
      </c>
      <c r="F32" s="43">
        <v>84.7</v>
      </c>
      <c r="G32" s="43">
        <v>145.7</v>
      </c>
      <c r="H32" s="147"/>
      <c r="I32" s="43"/>
      <c r="J32" s="43">
        <v>244.4</v>
      </c>
      <c r="K32" s="148"/>
      <c r="L32" s="149"/>
      <c r="M32" s="43"/>
      <c r="N32" s="161">
        <f t="shared" si="1"/>
        <v>4383.3</v>
      </c>
      <c r="O32" s="143"/>
      <c r="P32" s="143"/>
      <c r="Q32" s="143"/>
      <c r="R32" s="143"/>
      <c r="S32" s="143"/>
      <c r="T32" s="143"/>
      <c r="U32" s="143"/>
      <c r="V32" s="143"/>
      <c r="W32" s="143"/>
      <c r="X32" s="143"/>
      <c r="Y32" s="143"/>
      <c r="Z32" s="143"/>
      <c r="AA32" s="143"/>
      <c r="AB32" s="143"/>
      <c r="AC32" s="143"/>
      <c r="AD32" s="143"/>
      <c r="AE32" s="143"/>
      <c r="AF32" s="143"/>
      <c r="AG32" s="143"/>
    </row>
    <row r="33" spans="1:33" s="144" customFormat="1" ht="15.75">
      <c r="A33" s="145" t="s">
        <v>312</v>
      </c>
      <c r="B33" s="43">
        <v>9339.9</v>
      </c>
      <c r="C33" s="293">
        <v>9261</v>
      </c>
      <c r="D33" s="43">
        <v>423.3</v>
      </c>
      <c r="E33" s="138">
        <f t="shared" si="2"/>
        <v>2636.5</v>
      </c>
      <c r="F33" s="43">
        <v>1673.7</v>
      </c>
      <c r="G33" s="43">
        <v>623.8</v>
      </c>
      <c r="H33" s="147"/>
      <c r="I33" s="43"/>
      <c r="J33" s="43">
        <v>339</v>
      </c>
      <c r="K33" s="148"/>
      <c r="L33" s="149"/>
      <c r="M33" s="43"/>
      <c r="N33" s="161">
        <f t="shared" si="1"/>
        <v>21660.7</v>
      </c>
      <c r="O33" s="143"/>
      <c r="P33" s="143"/>
      <c r="Q33" s="143"/>
      <c r="R33" s="143"/>
      <c r="S33" s="143"/>
      <c r="T33" s="143"/>
      <c r="U33" s="143"/>
      <c r="V33" s="143"/>
      <c r="W33" s="143"/>
      <c r="X33" s="143"/>
      <c r="Y33" s="143"/>
      <c r="Z33" s="143"/>
      <c r="AA33" s="143"/>
      <c r="AB33" s="143"/>
      <c r="AC33" s="143"/>
      <c r="AD33" s="143"/>
      <c r="AE33" s="143"/>
      <c r="AF33" s="143"/>
      <c r="AG33" s="143"/>
    </row>
    <row r="34" spans="1:33" s="144" customFormat="1" ht="15.75">
      <c r="A34" s="145" t="s">
        <v>313</v>
      </c>
      <c r="B34" s="43">
        <v>4712</v>
      </c>
      <c r="C34" s="293">
        <v>1280.6</v>
      </c>
      <c r="D34" s="43">
        <v>425</v>
      </c>
      <c r="E34" s="138">
        <f t="shared" si="2"/>
        <v>326.79999999999995</v>
      </c>
      <c r="F34" s="43">
        <v>64.7</v>
      </c>
      <c r="G34" s="43">
        <v>136.2</v>
      </c>
      <c r="H34" s="147"/>
      <c r="I34" s="43"/>
      <c r="J34" s="43">
        <v>125.9</v>
      </c>
      <c r="K34" s="148"/>
      <c r="L34" s="149"/>
      <c r="M34" s="43"/>
      <c r="N34" s="161">
        <f t="shared" si="1"/>
        <v>6744.400000000001</v>
      </c>
      <c r="O34" s="143"/>
      <c r="P34" s="143"/>
      <c r="Q34" s="143"/>
      <c r="R34" s="143"/>
      <c r="S34" s="143"/>
      <c r="T34" s="143"/>
      <c r="U34" s="143"/>
      <c r="V34" s="143"/>
      <c r="W34" s="143"/>
      <c r="X34" s="143"/>
      <c r="Y34" s="143"/>
      <c r="Z34" s="143"/>
      <c r="AA34" s="143"/>
      <c r="AB34" s="143"/>
      <c r="AC34" s="143"/>
      <c r="AD34" s="143"/>
      <c r="AE34" s="143"/>
      <c r="AF34" s="143"/>
      <c r="AG34" s="143"/>
    </row>
    <row r="35" spans="1:33" s="144" customFormat="1" ht="15.75">
      <c r="A35" s="145" t="s">
        <v>314</v>
      </c>
      <c r="B35" s="43">
        <v>6239.7</v>
      </c>
      <c r="C35" s="293">
        <v>1762.1</v>
      </c>
      <c r="D35" s="43">
        <v>528.7</v>
      </c>
      <c r="E35" s="138">
        <f t="shared" si="2"/>
        <v>580.4</v>
      </c>
      <c r="F35" s="43">
        <v>87.2</v>
      </c>
      <c r="G35" s="43">
        <v>154.7</v>
      </c>
      <c r="H35" s="147"/>
      <c r="I35" s="43"/>
      <c r="J35" s="43">
        <v>338.5</v>
      </c>
      <c r="K35" s="148"/>
      <c r="L35" s="149"/>
      <c r="M35" s="43"/>
      <c r="N35" s="161">
        <f t="shared" si="1"/>
        <v>9110.9</v>
      </c>
      <c r="O35" s="143"/>
      <c r="P35" s="143"/>
      <c r="Q35" s="143"/>
      <c r="R35" s="143"/>
      <c r="S35" s="143"/>
      <c r="T35" s="143"/>
      <c r="U35" s="143"/>
      <c r="V35" s="143"/>
      <c r="W35" s="143"/>
      <c r="X35" s="143"/>
      <c r="Y35" s="143"/>
      <c r="Z35" s="143"/>
      <c r="AA35" s="143"/>
      <c r="AB35" s="143"/>
      <c r="AC35" s="143"/>
      <c r="AD35" s="143"/>
      <c r="AE35" s="143"/>
      <c r="AF35" s="143"/>
      <c r="AG35" s="143"/>
    </row>
    <row r="36" spans="1:33" s="144" customFormat="1" ht="15.75">
      <c r="A36" s="145" t="s">
        <v>315</v>
      </c>
      <c r="B36" s="43">
        <v>1008.5</v>
      </c>
      <c r="C36" s="293">
        <v>1063</v>
      </c>
      <c r="D36" s="43">
        <v>0</v>
      </c>
      <c r="E36" s="138">
        <f t="shared" si="2"/>
        <v>66.4</v>
      </c>
      <c r="F36" s="43">
        <v>21.1</v>
      </c>
      <c r="G36" s="43">
        <v>20.8</v>
      </c>
      <c r="H36" s="147"/>
      <c r="I36" s="43"/>
      <c r="J36" s="43">
        <v>24.5</v>
      </c>
      <c r="K36" s="148"/>
      <c r="L36" s="149"/>
      <c r="M36" s="43"/>
      <c r="N36" s="161">
        <f t="shared" si="1"/>
        <v>2137.9</v>
      </c>
      <c r="O36" s="143"/>
      <c r="P36" s="143"/>
      <c r="Q36" s="143"/>
      <c r="R36" s="143"/>
      <c r="S36" s="143"/>
      <c r="T36" s="143"/>
      <c r="U36" s="143"/>
      <c r="V36" s="143"/>
      <c r="W36" s="143"/>
      <c r="X36" s="143"/>
      <c r="Y36" s="143"/>
      <c r="Z36" s="143"/>
      <c r="AA36" s="143"/>
      <c r="AB36" s="143"/>
      <c r="AC36" s="143"/>
      <c r="AD36" s="143"/>
      <c r="AE36" s="143"/>
      <c r="AF36" s="143"/>
      <c r="AG36" s="143"/>
    </row>
    <row r="37" spans="1:33" s="144" customFormat="1" ht="15.75">
      <c r="A37" s="145" t="s">
        <v>316</v>
      </c>
      <c r="B37" s="43">
        <v>6398.6</v>
      </c>
      <c r="C37" s="293">
        <v>6412.8</v>
      </c>
      <c r="D37" s="43">
        <v>408.8</v>
      </c>
      <c r="E37" s="138">
        <f t="shared" si="2"/>
        <v>1603.5</v>
      </c>
      <c r="F37" s="43">
        <v>1044.3</v>
      </c>
      <c r="G37" s="43">
        <v>240.7</v>
      </c>
      <c r="H37" s="147"/>
      <c r="I37" s="43"/>
      <c r="J37" s="43">
        <v>318.5</v>
      </c>
      <c r="K37" s="148"/>
      <c r="L37" s="149"/>
      <c r="M37" s="43"/>
      <c r="N37" s="161">
        <f t="shared" si="1"/>
        <v>14823.7</v>
      </c>
      <c r="O37" s="143"/>
      <c r="P37" s="143"/>
      <c r="Q37" s="143"/>
      <c r="R37" s="143"/>
      <c r="S37" s="143"/>
      <c r="T37" s="143"/>
      <c r="U37" s="143"/>
      <c r="V37" s="143"/>
      <c r="W37" s="143"/>
      <c r="X37" s="143"/>
      <c r="Y37" s="143"/>
      <c r="Z37" s="143"/>
      <c r="AA37" s="143"/>
      <c r="AB37" s="143"/>
      <c r="AC37" s="143"/>
      <c r="AD37" s="143"/>
      <c r="AE37" s="143"/>
      <c r="AF37" s="143"/>
      <c r="AG37" s="143"/>
    </row>
    <row r="38" spans="1:33" s="144" customFormat="1" ht="15.75">
      <c r="A38" s="145" t="s">
        <v>317</v>
      </c>
      <c r="B38" s="43">
        <v>4713</v>
      </c>
      <c r="C38" s="293">
        <v>1548</v>
      </c>
      <c r="D38" s="43">
        <v>236.8</v>
      </c>
      <c r="E38" s="138">
        <f t="shared" si="2"/>
        <v>361.8</v>
      </c>
      <c r="F38" s="43">
        <v>102.2</v>
      </c>
      <c r="G38" s="43">
        <v>86.2</v>
      </c>
      <c r="H38" s="147"/>
      <c r="I38" s="43"/>
      <c r="J38" s="43">
        <v>173.4</v>
      </c>
      <c r="K38" s="148"/>
      <c r="L38" s="149"/>
      <c r="M38" s="43"/>
      <c r="N38" s="161">
        <f t="shared" si="1"/>
        <v>6859.6</v>
      </c>
      <c r="O38" s="143"/>
      <c r="P38" s="143"/>
      <c r="Q38" s="143"/>
      <c r="R38" s="143"/>
      <c r="S38" s="143"/>
      <c r="T38" s="143"/>
      <c r="U38" s="143"/>
      <c r="V38" s="143"/>
      <c r="W38" s="143"/>
      <c r="X38" s="143"/>
      <c r="Y38" s="143"/>
      <c r="Z38" s="143"/>
      <c r="AA38" s="143"/>
      <c r="AB38" s="143"/>
      <c r="AC38" s="143"/>
      <c r="AD38" s="143"/>
      <c r="AE38" s="143"/>
      <c r="AF38" s="143"/>
      <c r="AG38" s="143"/>
    </row>
    <row r="39" spans="1:33" s="144" customFormat="1" ht="15.75">
      <c r="A39" s="145" t="s">
        <v>318</v>
      </c>
      <c r="B39" s="43">
        <v>1558.9</v>
      </c>
      <c r="C39" s="293">
        <v>1689.9</v>
      </c>
      <c r="D39" s="43">
        <v>178.8</v>
      </c>
      <c r="E39" s="138">
        <f t="shared" si="2"/>
        <v>1862.8</v>
      </c>
      <c r="F39" s="43">
        <v>111.1</v>
      </c>
      <c r="G39" s="43">
        <v>201.2</v>
      </c>
      <c r="H39" s="147"/>
      <c r="I39" s="43">
        <v>1403.9</v>
      </c>
      <c r="J39" s="43">
        <v>146.6</v>
      </c>
      <c r="K39" s="148"/>
      <c r="L39" s="149"/>
      <c r="M39" s="43"/>
      <c r="N39" s="161">
        <f t="shared" si="1"/>
        <v>5290.400000000001</v>
      </c>
      <c r="O39" s="143"/>
      <c r="P39" s="143"/>
      <c r="Q39" s="143"/>
      <c r="R39" s="143"/>
      <c r="S39" s="143"/>
      <c r="T39" s="143"/>
      <c r="U39" s="143"/>
      <c r="V39" s="143"/>
      <c r="W39" s="143"/>
      <c r="X39" s="143"/>
      <c r="Y39" s="143"/>
      <c r="Z39" s="143"/>
      <c r="AA39" s="143"/>
      <c r="AB39" s="143"/>
      <c r="AC39" s="143"/>
      <c r="AD39" s="143"/>
      <c r="AE39" s="143"/>
      <c r="AF39" s="143"/>
      <c r="AG39" s="143"/>
    </row>
    <row r="40" spans="1:33" s="144" customFormat="1" ht="15.75">
      <c r="A40" s="145" t="s">
        <v>319</v>
      </c>
      <c r="B40" s="43">
        <v>2675.4</v>
      </c>
      <c r="C40" s="293">
        <v>287</v>
      </c>
      <c r="D40" s="43">
        <v>493.3</v>
      </c>
      <c r="E40" s="138">
        <f t="shared" si="2"/>
        <v>75</v>
      </c>
      <c r="F40" s="43">
        <v>16.5</v>
      </c>
      <c r="G40" s="43">
        <v>32.8</v>
      </c>
      <c r="H40" s="147"/>
      <c r="I40" s="43"/>
      <c r="J40" s="43">
        <v>25.7</v>
      </c>
      <c r="K40" s="148"/>
      <c r="L40" s="149"/>
      <c r="M40" s="43"/>
      <c r="N40" s="161">
        <f t="shared" si="1"/>
        <v>3530.7000000000003</v>
      </c>
      <c r="O40" s="143"/>
      <c r="P40" s="143"/>
      <c r="Q40" s="143"/>
      <c r="R40" s="143"/>
      <c r="S40" s="143"/>
      <c r="T40" s="143"/>
      <c r="U40" s="143"/>
      <c r="V40" s="143"/>
      <c r="W40" s="143"/>
      <c r="X40" s="143"/>
      <c r="Y40" s="143"/>
      <c r="Z40" s="143"/>
      <c r="AA40" s="143"/>
      <c r="AB40" s="143"/>
      <c r="AC40" s="143"/>
      <c r="AD40" s="143"/>
      <c r="AE40" s="143"/>
      <c r="AF40" s="143"/>
      <c r="AG40" s="143"/>
    </row>
    <row r="41" spans="1:33" s="144" customFormat="1" ht="15.75">
      <c r="A41" s="145" t="s">
        <v>320</v>
      </c>
      <c r="B41" s="43">
        <v>5680</v>
      </c>
      <c r="C41" s="293">
        <v>3383.6</v>
      </c>
      <c r="D41" s="43">
        <v>850.4</v>
      </c>
      <c r="E41" s="138">
        <f t="shared" si="2"/>
        <v>277.29999999999995</v>
      </c>
      <c r="F41" s="43">
        <v>47.8</v>
      </c>
      <c r="G41" s="43">
        <v>170.6</v>
      </c>
      <c r="H41" s="147"/>
      <c r="I41" s="43"/>
      <c r="J41" s="43">
        <v>58.9</v>
      </c>
      <c r="K41" s="148"/>
      <c r="L41" s="149"/>
      <c r="M41" s="43"/>
      <c r="N41" s="161">
        <f t="shared" si="1"/>
        <v>10191.3</v>
      </c>
      <c r="O41" s="143"/>
      <c r="P41" s="143"/>
      <c r="Q41" s="143"/>
      <c r="R41" s="143"/>
      <c r="S41" s="143"/>
      <c r="T41" s="143"/>
      <c r="U41" s="143"/>
      <c r="V41" s="143"/>
      <c r="W41" s="143"/>
      <c r="X41" s="143"/>
      <c r="Y41" s="143"/>
      <c r="Z41" s="143"/>
      <c r="AA41" s="143"/>
      <c r="AB41" s="143"/>
      <c r="AC41" s="143"/>
      <c r="AD41" s="143"/>
      <c r="AE41" s="143"/>
      <c r="AF41" s="143"/>
      <c r="AG41" s="143"/>
    </row>
    <row r="42" spans="1:33" s="144" customFormat="1" ht="15.75">
      <c r="A42" s="145" t="s">
        <v>321</v>
      </c>
      <c r="B42" s="43">
        <v>3979.8</v>
      </c>
      <c r="C42" s="293">
        <v>2987.5</v>
      </c>
      <c r="D42" s="43">
        <v>601.7</v>
      </c>
      <c r="E42" s="138">
        <f t="shared" si="2"/>
        <v>265.3</v>
      </c>
      <c r="F42" s="43">
        <v>62.2</v>
      </c>
      <c r="G42" s="43">
        <v>86.7</v>
      </c>
      <c r="H42" s="147"/>
      <c r="I42" s="43"/>
      <c r="J42" s="43">
        <v>116.4</v>
      </c>
      <c r="K42" s="148"/>
      <c r="L42" s="149"/>
      <c r="M42" s="43"/>
      <c r="N42" s="161">
        <f t="shared" si="1"/>
        <v>7834.3</v>
      </c>
      <c r="O42" s="143"/>
      <c r="P42" s="143"/>
      <c r="Q42" s="143"/>
      <c r="R42" s="143"/>
      <c r="S42" s="143"/>
      <c r="T42" s="143"/>
      <c r="U42" s="143"/>
      <c r="V42" s="143"/>
      <c r="W42" s="143"/>
      <c r="X42" s="143"/>
      <c r="Y42" s="143"/>
      <c r="Z42" s="143"/>
      <c r="AA42" s="143"/>
      <c r="AB42" s="143"/>
      <c r="AC42" s="143"/>
      <c r="AD42" s="143"/>
      <c r="AE42" s="143"/>
      <c r="AF42" s="143"/>
      <c r="AG42" s="143"/>
    </row>
    <row r="43" spans="1:33" s="144" customFormat="1" ht="15.75">
      <c r="A43" s="145" t="s">
        <v>322</v>
      </c>
      <c r="B43" s="43">
        <v>4209.3</v>
      </c>
      <c r="C43" s="293">
        <v>854.7</v>
      </c>
      <c r="D43" s="43">
        <v>1548.7</v>
      </c>
      <c r="E43" s="138">
        <f t="shared" si="2"/>
        <v>281.9</v>
      </c>
      <c r="F43" s="43">
        <v>53</v>
      </c>
      <c r="G43" s="43">
        <v>136</v>
      </c>
      <c r="H43" s="147"/>
      <c r="I43" s="43"/>
      <c r="J43" s="43">
        <v>92.9</v>
      </c>
      <c r="K43" s="148"/>
      <c r="L43" s="149"/>
      <c r="M43" s="43"/>
      <c r="N43" s="161">
        <f t="shared" si="1"/>
        <v>6894.599999999999</v>
      </c>
      <c r="O43" s="143"/>
      <c r="P43" s="143"/>
      <c r="Q43" s="143"/>
      <c r="R43" s="143"/>
      <c r="S43" s="143"/>
      <c r="T43" s="143"/>
      <c r="U43" s="143"/>
      <c r="V43" s="143"/>
      <c r="W43" s="143"/>
      <c r="X43" s="143"/>
      <c r="Y43" s="143"/>
      <c r="Z43" s="143"/>
      <c r="AA43" s="143"/>
      <c r="AB43" s="143"/>
      <c r="AC43" s="143"/>
      <c r="AD43" s="143"/>
      <c r="AE43" s="143"/>
      <c r="AF43" s="143"/>
      <c r="AG43" s="143"/>
    </row>
    <row r="44" spans="1:33" s="144" customFormat="1" ht="15.75">
      <c r="A44" s="145" t="s">
        <v>323</v>
      </c>
      <c r="B44" s="43">
        <v>5375.6</v>
      </c>
      <c r="C44" s="293">
        <v>3187.8</v>
      </c>
      <c r="D44" s="43">
        <v>1542.7</v>
      </c>
      <c r="E44" s="138">
        <f t="shared" si="2"/>
        <v>493.20000000000005</v>
      </c>
      <c r="F44" s="43">
        <v>97.8</v>
      </c>
      <c r="G44" s="43">
        <v>112.8</v>
      </c>
      <c r="H44" s="147"/>
      <c r="I44" s="43"/>
      <c r="J44" s="43">
        <v>282.6</v>
      </c>
      <c r="K44" s="148"/>
      <c r="L44" s="149"/>
      <c r="M44" s="43"/>
      <c r="N44" s="161">
        <f t="shared" si="1"/>
        <v>10599.300000000003</v>
      </c>
      <c r="O44" s="143"/>
      <c r="P44" s="143"/>
      <c r="Q44" s="143"/>
      <c r="R44" s="143"/>
      <c r="S44" s="143"/>
      <c r="T44" s="143"/>
      <c r="U44" s="143"/>
      <c r="V44" s="143"/>
      <c r="W44" s="143"/>
      <c r="X44" s="143"/>
      <c r="Y44" s="143"/>
      <c r="Z44" s="143"/>
      <c r="AA44" s="143"/>
      <c r="AB44" s="143"/>
      <c r="AC44" s="143"/>
      <c r="AD44" s="143"/>
      <c r="AE44" s="143"/>
      <c r="AF44" s="143"/>
      <c r="AG44" s="143"/>
    </row>
    <row r="45" spans="1:33" s="144" customFormat="1" ht="15.75">
      <c r="A45" s="145" t="s">
        <v>324</v>
      </c>
      <c r="B45" s="43">
        <v>1843.5</v>
      </c>
      <c r="C45" s="293">
        <v>1192.4</v>
      </c>
      <c r="D45" s="43">
        <v>305.8</v>
      </c>
      <c r="E45" s="138">
        <f t="shared" si="2"/>
        <v>149.9</v>
      </c>
      <c r="F45" s="43">
        <v>33.8</v>
      </c>
      <c r="G45" s="43">
        <v>61.7</v>
      </c>
      <c r="H45" s="147"/>
      <c r="I45" s="43"/>
      <c r="J45" s="43">
        <v>54.4</v>
      </c>
      <c r="K45" s="148"/>
      <c r="L45" s="149"/>
      <c r="M45" s="43"/>
      <c r="N45" s="161">
        <f t="shared" si="1"/>
        <v>3491.6000000000004</v>
      </c>
      <c r="O45" s="143"/>
      <c r="P45" s="143"/>
      <c r="Q45" s="143"/>
      <c r="R45" s="143"/>
      <c r="S45" s="143"/>
      <c r="T45" s="143"/>
      <c r="U45" s="143"/>
      <c r="V45" s="143"/>
      <c r="W45" s="143"/>
      <c r="X45" s="143"/>
      <c r="Y45" s="143"/>
      <c r="Z45" s="143"/>
      <c r="AA45" s="143"/>
      <c r="AB45" s="143"/>
      <c r="AC45" s="143"/>
      <c r="AD45" s="143"/>
      <c r="AE45" s="143"/>
      <c r="AF45" s="143"/>
      <c r="AG45" s="143"/>
    </row>
    <row r="46" spans="1:33" s="144" customFormat="1" ht="15.75">
      <c r="A46" s="145" t="s">
        <v>325</v>
      </c>
      <c r="B46" s="43">
        <v>1559.9</v>
      </c>
      <c r="C46" s="293">
        <v>107.5</v>
      </c>
      <c r="D46" s="43">
        <v>487.1</v>
      </c>
      <c r="E46" s="138">
        <f t="shared" si="2"/>
        <v>79.9</v>
      </c>
      <c r="F46" s="43">
        <v>20.2</v>
      </c>
      <c r="G46" s="43">
        <v>17.7</v>
      </c>
      <c r="H46" s="147"/>
      <c r="I46" s="43"/>
      <c r="J46" s="43">
        <v>42</v>
      </c>
      <c r="K46" s="148"/>
      <c r="L46" s="149"/>
      <c r="M46" s="43"/>
      <c r="N46" s="161">
        <f t="shared" si="1"/>
        <v>2234.4</v>
      </c>
      <c r="O46" s="143"/>
      <c r="P46" s="143"/>
      <c r="Q46" s="143"/>
      <c r="R46" s="143"/>
      <c r="S46" s="143"/>
      <c r="T46" s="143"/>
      <c r="U46" s="143"/>
      <c r="V46" s="143"/>
      <c r="W46" s="143"/>
      <c r="X46" s="143"/>
      <c r="Y46" s="143"/>
      <c r="Z46" s="143"/>
      <c r="AA46" s="143"/>
      <c r="AB46" s="143"/>
      <c r="AC46" s="143"/>
      <c r="AD46" s="143"/>
      <c r="AE46" s="143"/>
      <c r="AF46" s="143"/>
      <c r="AG46" s="143"/>
    </row>
    <row r="47" spans="1:33" s="144" customFormat="1" ht="15.75">
      <c r="A47" s="145" t="s">
        <v>326</v>
      </c>
      <c r="B47" s="43">
        <v>2138.4</v>
      </c>
      <c r="C47" s="293">
        <v>1035.9</v>
      </c>
      <c r="D47" s="43">
        <v>216.3</v>
      </c>
      <c r="E47" s="138">
        <f t="shared" si="2"/>
        <v>81.7</v>
      </c>
      <c r="F47" s="43">
        <v>25.6</v>
      </c>
      <c r="G47" s="43">
        <v>32.1</v>
      </c>
      <c r="H47" s="147"/>
      <c r="I47" s="43"/>
      <c r="J47" s="43">
        <v>24</v>
      </c>
      <c r="K47" s="148"/>
      <c r="L47" s="149"/>
      <c r="M47" s="43"/>
      <c r="N47" s="161">
        <f t="shared" si="1"/>
        <v>3472.3</v>
      </c>
      <c r="O47" s="143"/>
      <c r="P47" s="143"/>
      <c r="Q47" s="143"/>
      <c r="R47" s="143"/>
      <c r="S47" s="143"/>
      <c r="T47" s="143"/>
      <c r="U47" s="143"/>
      <c r="V47" s="143"/>
      <c r="W47" s="143"/>
      <c r="X47" s="143"/>
      <c r="Y47" s="143"/>
      <c r="Z47" s="143"/>
      <c r="AA47" s="143"/>
      <c r="AB47" s="143"/>
      <c r="AC47" s="143"/>
      <c r="AD47" s="143"/>
      <c r="AE47" s="143"/>
      <c r="AF47" s="143"/>
      <c r="AG47" s="143"/>
    </row>
    <row r="48" spans="1:33" s="144" customFormat="1" ht="15.75">
      <c r="A48" s="145" t="s">
        <v>327</v>
      </c>
      <c r="B48" s="43">
        <v>1975.4</v>
      </c>
      <c r="C48" s="293">
        <v>207</v>
      </c>
      <c r="D48" s="43">
        <v>834.2</v>
      </c>
      <c r="E48" s="138">
        <f t="shared" si="2"/>
        <v>113.2</v>
      </c>
      <c r="F48" s="43">
        <v>39.6</v>
      </c>
      <c r="G48" s="43">
        <v>32.1</v>
      </c>
      <c r="H48" s="147"/>
      <c r="I48" s="43"/>
      <c r="J48" s="43">
        <v>41.5</v>
      </c>
      <c r="K48" s="148"/>
      <c r="L48" s="149"/>
      <c r="M48" s="43"/>
      <c r="N48" s="161">
        <f t="shared" si="1"/>
        <v>3129.8</v>
      </c>
      <c r="O48" s="143"/>
      <c r="P48" s="143"/>
      <c r="Q48" s="143"/>
      <c r="R48" s="143"/>
      <c r="S48" s="143"/>
      <c r="T48" s="143"/>
      <c r="U48" s="143"/>
      <c r="V48" s="143"/>
      <c r="W48" s="143"/>
      <c r="X48" s="143"/>
      <c r="Y48" s="143"/>
      <c r="Z48" s="143"/>
      <c r="AA48" s="143"/>
      <c r="AB48" s="143"/>
      <c r="AC48" s="143"/>
      <c r="AD48" s="143"/>
      <c r="AE48" s="143"/>
      <c r="AF48" s="143"/>
      <c r="AG48" s="143"/>
    </row>
    <row r="49" spans="1:33" s="144" customFormat="1" ht="15.75">
      <c r="A49" s="145" t="s">
        <v>328</v>
      </c>
      <c r="B49" s="43">
        <v>5777.6</v>
      </c>
      <c r="C49" s="293">
        <v>2985.6</v>
      </c>
      <c r="D49" s="43">
        <v>970.8</v>
      </c>
      <c r="E49" s="138">
        <f t="shared" si="2"/>
        <v>499.9</v>
      </c>
      <c r="F49" s="43">
        <v>118.1</v>
      </c>
      <c r="G49" s="43">
        <v>219.2</v>
      </c>
      <c r="H49" s="147"/>
      <c r="I49" s="43"/>
      <c r="J49" s="43">
        <v>162.6</v>
      </c>
      <c r="K49" s="148"/>
      <c r="L49" s="149"/>
      <c r="M49" s="43"/>
      <c r="N49" s="161">
        <f t="shared" si="1"/>
        <v>10233.9</v>
      </c>
      <c r="O49" s="143"/>
      <c r="P49" s="143"/>
      <c r="Q49" s="143"/>
      <c r="R49" s="143"/>
      <c r="S49" s="143"/>
      <c r="T49" s="143"/>
      <c r="U49" s="143"/>
      <c r="V49" s="143"/>
      <c r="W49" s="143"/>
      <c r="X49" s="143"/>
      <c r="Y49" s="143"/>
      <c r="Z49" s="143"/>
      <c r="AA49" s="143"/>
      <c r="AB49" s="143"/>
      <c r="AC49" s="143"/>
      <c r="AD49" s="143"/>
      <c r="AE49" s="143"/>
      <c r="AF49" s="143"/>
      <c r="AG49" s="143"/>
    </row>
    <row r="50" spans="1:33" s="144" customFormat="1" ht="15.75">
      <c r="A50" s="145" t="s">
        <v>329</v>
      </c>
      <c r="B50" s="43">
        <v>3004.6</v>
      </c>
      <c r="C50" s="293">
        <v>1563.6</v>
      </c>
      <c r="D50" s="43">
        <v>395.5</v>
      </c>
      <c r="E50" s="138">
        <f t="shared" si="2"/>
        <v>145.8</v>
      </c>
      <c r="F50" s="43">
        <v>31.4</v>
      </c>
      <c r="G50" s="43">
        <v>71.7</v>
      </c>
      <c r="H50" s="147"/>
      <c r="I50" s="43"/>
      <c r="J50" s="43">
        <v>42.7</v>
      </c>
      <c r="K50" s="148"/>
      <c r="L50" s="149"/>
      <c r="M50" s="43"/>
      <c r="N50" s="161">
        <f t="shared" si="1"/>
        <v>5109.5</v>
      </c>
      <c r="O50" s="143"/>
      <c r="P50" s="143"/>
      <c r="Q50" s="143"/>
      <c r="R50" s="143"/>
      <c r="S50" s="143"/>
      <c r="T50" s="143"/>
      <c r="U50" s="143"/>
      <c r="V50" s="143"/>
      <c r="W50" s="143"/>
      <c r="X50" s="143"/>
      <c r="Y50" s="143"/>
      <c r="Z50" s="143"/>
      <c r="AA50" s="143"/>
      <c r="AB50" s="143"/>
      <c r="AC50" s="143"/>
      <c r="AD50" s="143"/>
      <c r="AE50" s="143"/>
      <c r="AF50" s="143"/>
      <c r="AG50" s="143"/>
    </row>
    <row r="51" spans="1:33" s="144" customFormat="1" ht="15.75">
      <c r="A51" s="145" t="s">
        <v>330</v>
      </c>
      <c r="B51" s="43">
        <v>1399</v>
      </c>
      <c r="C51" s="293">
        <v>1295.3</v>
      </c>
      <c r="D51" s="43">
        <v>418.9</v>
      </c>
      <c r="E51" s="138">
        <f t="shared" si="2"/>
        <v>205.1</v>
      </c>
      <c r="F51" s="43">
        <v>28.9</v>
      </c>
      <c r="G51" s="43">
        <v>84.6</v>
      </c>
      <c r="H51" s="147"/>
      <c r="I51" s="43"/>
      <c r="J51" s="43">
        <v>91.6</v>
      </c>
      <c r="K51" s="148"/>
      <c r="L51" s="149"/>
      <c r="M51" s="43"/>
      <c r="N51" s="161">
        <f t="shared" si="1"/>
        <v>3318.3</v>
      </c>
      <c r="O51" s="143"/>
      <c r="P51" s="143"/>
      <c r="Q51" s="143"/>
      <c r="R51" s="143"/>
      <c r="S51" s="143"/>
      <c r="T51" s="143"/>
      <c r="U51" s="143"/>
      <c r="V51" s="143"/>
      <c r="W51" s="143"/>
      <c r="X51" s="143"/>
      <c r="Y51" s="143"/>
      <c r="Z51" s="143"/>
      <c r="AA51" s="143"/>
      <c r="AB51" s="143"/>
      <c r="AC51" s="143"/>
      <c r="AD51" s="143"/>
      <c r="AE51" s="143"/>
      <c r="AF51" s="143"/>
      <c r="AG51" s="143"/>
    </row>
    <row r="52" spans="1:33" s="144" customFormat="1" ht="15.75">
      <c r="A52" s="145" t="s">
        <v>331</v>
      </c>
      <c r="B52" s="43">
        <v>2288</v>
      </c>
      <c r="C52" s="293">
        <v>485.5</v>
      </c>
      <c r="D52" s="43">
        <v>1066.1</v>
      </c>
      <c r="E52" s="138">
        <f t="shared" si="2"/>
        <v>94.9</v>
      </c>
      <c r="F52" s="43">
        <v>35.5</v>
      </c>
      <c r="G52" s="43">
        <v>30.7</v>
      </c>
      <c r="H52" s="147"/>
      <c r="I52" s="43"/>
      <c r="J52" s="43">
        <v>28.7</v>
      </c>
      <c r="K52" s="148"/>
      <c r="L52" s="149"/>
      <c r="M52" s="43"/>
      <c r="N52" s="161">
        <f t="shared" si="1"/>
        <v>3934.5</v>
      </c>
      <c r="O52" s="143"/>
      <c r="P52" s="143"/>
      <c r="Q52" s="143"/>
      <c r="R52" s="143"/>
      <c r="S52" s="143"/>
      <c r="T52" s="143"/>
      <c r="U52" s="143"/>
      <c r="V52" s="143"/>
      <c r="W52" s="143"/>
      <c r="X52" s="143"/>
      <c r="Y52" s="143"/>
      <c r="Z52" s="143"/>
      <c r="AA52" s="143"/>
      <c r="AB52" s="143"/>
      <c r="AC52" s="143"/>
      <c r="AD52" s="143"/>
      <c r="AE52" s="143"/>
      <c r="AF52" s="143"/>
      <c r="AG52" s="143"/>
    </row>
    <row r="53" spans="1:33" s="144" customFormat="1" ht="15.75">
      <c r="A53" s="145" t="s">
        <v>332</v>
      </c>
      <c r="B53" s="43">
        <v>3821.9</v>
      </c>
      <c r="C53" s="293">
        <v>1842.4</v>
      </c>
      <c r="D53" s="43">
        <v>850.3</v>
      </c>
      <c r="E53" s="138">
        <f t="shared" si="2"/>
        <v>341.1</v>
      </c>
      <c r="F53" s="43">
        <v>58.6</v>
      </c>
      <c r="G53" s="43">
        <v>159.4</v>
      </c>
      <c r="H53" s="147"/>
      <c r="I53" s="43"/>
      <c r="J53" s="43">
        <v>123.1</v>
      </c>
      <c r="K53" s="148"/>
      <c r="L53" s="149"/>
      <c r="M53" s="43"/>
      <c r="N53" s="161">
        <f t="shared" si="1"/>
        <v>6855.700000000001</v>
      </c>
      <c r="O53" s="143"/>
      <c r="P53" s="143"/>
      <c r="Q53" s="143"/>
      <c r="R53" s="143"/>
      <c r="S53" s="143"/>
      <c r="T53" s="143"/>
      <c r="U53" s="143"/>
      <c r="V53" s="143"/>
      <c r="W53" s="143"/>
      <c r="X53" s="143"/>
      <c r="Y53" s="143"/>
      <c r="Z53" s="143"/>
      <c r="AA53" s="143"/>
      <c r="AB53" s="143"/>
      <c r="AC53" s="143"/>
      <c r="AD53" s="143"/>
      <c r="AE53" s="143"/>
      <c r="AF53" s="143"/>
      <c r="AG53" s="143"/>
    </row>
    <row r="54" spans="1:33" s="144" customFormat="1" ht="15.75">
      <c r="A54" s="145" t="s">
        <v>333</v>
      </c>
      <c r="B54" s="43">
        <v>2503</v>
      </c>
      <c r="C54" s="293">
        <v>406.3</v>
      </c>
      <c r="D54" s="43">
        <v>916</v>
      </c>
      <c r="E54" s="138">
        <f t="shared" si="2"/>
        <v>177.2</v>
      </c>
      <c r="F54" s="43">
        <v>36.8</v>
      </c>
      <c r="G54" s="43">
        <v>74.8</v>
      </c>
      <c r="H54" s="147"/>
      <c r="I54" s="43"/>
      <c r="J54" s="43">
        <v>65.6</v>
      </c>
      <c r="K54" s="148"/>
      <c r="L54" s="149"/>
      <c r="M54" s="43"/>
      <c r="N54" s="161">
        <f t="shared" si="1"/>
        <v>4002.5</v>
      </c>
      <c r="O54" s="143"/>
      <c r="P54" s="143"/>
      <c r="Q54" s="143"/>
      <c r="R54" s="143"/>
      <c r="S54" s="143"/>
      <c r="T54" s="143"/>
      <c r="U54" s="143"/>
      <c r="V54" s="143"/>
      <c r="W54" s="143"/>
      <c r="X54" s="143"/>
      <c r="Y54" s="143"/>
      <c r="Z54" s="143"/>
      <c r="AA54" s="143"/>
      <c r="AB54" s="143"/>
      <c r="AC54" s="143"/>
      <c r="AD54" s="143"/>
      <c r="AE54" s="143"/>
      <c r="AF54" s="143"/>
      <c r="AG54" s="143"/>
    </row>
    <row r="55" spans="1:33" s="144" customFormat="1" ht="15.75">
      <c r="A55" s="145" t="s">
        <v>334</v>
      </c>
      <c r="B55" s="43">
        <v>1473.7</v>
      </c>
      <c r="C55" s="293">
        <v>239.5</v>
      </c>
      <c r="D55" s="43">
        <v>355.3</v>
      </c>
      <c r="E55" s="138">
        <f t="shared" si="2"/>
        <v>86.2</v>
      </c>
      <c r="F55" s="43">
        <v>14.9</v>
      </c>
      <c r="G55" s="43">
        <v>19.6</v>
      </c>
      <c r="H55" s="147"/>
      <c r="I55" s="43"/>
      <c r="J55" s="43">
        <v>51.7</v>
      </c>
      <c r="K55" s="148"/>
      <c r="L55" s="149"/>
      <c r="M55" s="43"/>
      <c r="N55" s="161">
        <f t="shared" si="1"/>
        <v>2154.7</v>
      </c>
      <c r="O55" s="143"/>
      <c r="P55" s="143"/>
      <c r="Q55" s="143"/>
      <c r="R55" s="143"/>
      <c r="S55" s="143"/>
      <c r="T55" s="143"/>
      <c r="U55" s="143"/>
      <c r="V55" s="143"/>
      <c r="W55" s="143"/>
      <c r="X55" s="143"/>
      <c r="Y55" s="143"/>
      <c r="Z55" s="143"/>
      <c r="AA55" s="143"/>
      <c r="AB55" s="143"/>
      <c r="AC55" s="143"/>
      <c r="AD55" s="143"/>
      <c r="AE55" s="143"/>
      <c r="AF55" s="143"/>
      <c r="AG55" s="143"/>
    </row>
    <row r="56" spans="1:33" s="144" customFormat="1" ht="15.75">
      <c r="A56" s="145" t="s">
        <v>335</v>
      </c>
      <c r="B56" s="43">
        <v>1889.2</v>
      </c>
      <c r="C56" s="293">
        <v>524</v>
      </c>
      <c r="D56" s="43">
        <v>431.9</v>
      </c>
      <c r="E56" s="138">
        <f t="shared" si="2"/>
        <v>222.70000000000002</v>
      </c>
      <c r="F56" s="43">
        <v>33.5</v>
      </c>
      <c r="G56" s="43">
        <v>42.4</v>
      </c>
      <c r="H56" s="147"/>
      <c r="I56" s="43"/>
      <c r="J56" s="43">
        <v>146.8</v>
      </c>
      <c r="K56" s="148"/>
      <c r="L56" s="149"/>
      <c r="M56" s="43"/>
      <c r="N56" s="161">
        <f t="shared" si="1"/>
        <v>3067.7999999999997</v>
      </c>
      <c r="O56" s="143"/>
      <c r="P56" s="143"/>
      <c r="Q56" s="143"/>
      <c r="R56" s="143"/>
      <c r="S56" s="143"/>
      <c r="T56" s="143"/>
      <c r="U56" s="143"/>
      <c r="V56" s="143"/>
      <c r="W56" s="143"/>
      <c r="X56" s="143"/>
      <c r="Y56" s="143"/>
      <c r="Z56" s="143"/>
      <c r="AA56" s="143"/>
      <c r="AB56" s="143"/>
      <c r="AC56" s="143"/>
      <c r="AD56" s="143"/>
      <c r="AE56" s="143"/>
      <c r="AF56" s="143"/>
      <c r="AG56" s="143"/>
    </row>
    <row r="57" spans="1:33" s="144" customFormat="1" ht="16.5" thickBot="1">
      <c r="A57" s="151" t="s">
        <v>336</v>
      </c>
      <c r="B57" s="152"/>
      <c r="C57" s="153"/>
      <c r="D57" s="152"/>
      <c r="E57" s="152"/>
      <c r="F57" s="152"/>
      <c r="G57" s="152"/>
      <c r="H57" s="152"/>
      <c r="I57" s="152"/>
      <c r="J57" s="152"/>
      <c r="K57" s="152">
        <v>7136.8</v>
      </c>
      <c r="L57" s="154"/>
      <c r="M57" s="152">
        <v>41789.3</v>
      </c>
      <c r="N57" s="162">
        <f t="shared" si="1"/>
        <v>48926.100000000006</v>
      </c>
      <c r="O57" s="143"/>
      <c r="P57" s="143"/>
      <c r="Q57" s="143"/>
      <c r="R57" s="143"/>
      <c r="S57" s="143"/>
      <c r="T57" s="143"/>
      <c r="U57" s="143"/>
      <c r="V57" s="143"/>
      <c r="W57" s="143"/>
      <c r="X57" s="143"/>
      <c r="Y57" s="143"/>
      <c r="Z57" s="143"/>
      <c r="AA57" s="143"/>
      <c r="AB57" s="143"/>
      <c r="AC57" s="143"/>
      <c r="AD57" s="143"/>
      <c r="AE57" s="143"/>
      <c r="AF57" s="143"/>
      <c r="AG57" s="143"/>
    </row>
    <row r="58" spans="1:33" s="101" customFormat="1" ht="18" customHeight="1" thickBot="1">
      <c r="A58" s="155" t="s">
        <v>337</v>
      </c>
      <c r="B58" s="156">
        <f aca="true" t="shared" si="3" ref="B58:M58">SUM(B12:B57)</f>
        <v>259687.80000000002</v>
      </c>
      <c r="C58" s="157">
        <f t="shared" si="3"/>
        <v>199206.99999999997</v>
      </c>
      <c r="D58" s="156">
        <f t="shared" si="3"/>
        <v>21494.699999999997</v>
      </c>
      <c r="E58" s="156">
        <f t="shared" si="3"/>
        <v>76175.4</v>
      </c>
      <c r="F58" s="156">
        <f t="shared" si="3"/>
        <v>47411.3</v>
      </c>
      <c r="G58" s="156">
        <f t="shared" si="3"/>
        <v>13601.200000000006</v>
      </c>
      <c r="H58" s="156">
        <f t="shared" si="3"/>
        <v>177.4</v>
      </c>
      <c r="I58" s="156">
        <f t="shared" si="3"/>
        <v>2141.1000000000004</v>
      </c>
      <c r="J58" s="156">
        <f t="shared" si="3"/>
        <v>12844.400000000003</v>
      </c>
      <c r="K58" s="156">
        <f t="shared" si="3"/>
        <v>7136.8</v>
      </c>
      <c r="L58" s="156">
        <f t="shared" si="3"/>
        <v>626.0999999999999</v>
      </c>
      <c r="M58" s="156">
        <f t="shared" si="3"/>
        <v>41789.3</v>
      </c>
      <c r="N58" s="163">
        <f>SUM(N12:N57)</f>
        <v>606117.1</v>
      </c>
      <c r="O58" s="143"/>
      <c r="P58" s="143"/>
      <c r="Q58" s="143"/>
      <c r="R58" s="143"/>
      <c r="S58" s="143"/>
      <c r="T58" s="143"/>
      <c r="U58" s="143"/>
      <c r="V58" s="143"/>
      <c r="W58" s="143"/>
      <c r="X58" s="143"/>
      <c r="Y58" s="143"/>
      <c r="Z58" s="143"/>
      <c r="AA58" s="143"/>
      <c r="AB58" s="143"/>
      <c r="AC58" s="143"/>
      <c r="AD58" s="143"/>
      <c r="AE58" s="143"/>
      <c r="AF58" s="143"/>
      <c r="AG58" s="143"/>
    </row>
    <row r="59" spans="3:33" ht="15.75">
      <c r="C59" s="31"/>
      <c r="E59" s="31"/>
      <c r="J59" s="31"/>
      <c r="M59" s="158"/>
      <c r="N59" s="159"/>
      <c r="O59" s="143"/>
      <c r="P59" s="143"/>
      <c r="Q59" s="143"/>
      <c r="R59" s="143"/>
      <c r="S59" s="143"/>
      <c r="T59" s="143"/>
      <c r="U59" s="143"/>
      <c r="V59" s="143"/>
      <c r="W59" s="143"/>
      <c r="X59" s="143"/>
      <c r="Y59" s="143"/>
      <c r="Z59" s="143"/>
      <c r="AA59" s="143"/>
      <c r="AB59" s="143"/>
      <c r="AC59" s="143"/>
      <c r="AD59" s="143"/>
      <c r="AE59" s="143"/>
      <c r="AF59" s="143"/>
      <c r="AG59" s="143"/>
    </row>
    <row r="60" spans="13:33" ht="15.75">
      <c r="M60" s="158"/>
      <c r="N60" s="159"/>
      <c r="O60" s="143"/>
      <c r="P60" s="143"/>
      <c r="Q60" s="143"/>
      <c r="R60" s="143"/>
      <c r="S60" s="143"/>
      <c r="T60" s="143"/>
      <c r="U60" s="143"/>
      <c r="V60" s="143"/>
      <c r="W60" s="143"/>
      <c r="X60" s="143"/>
      <c r="Y60" s="143"/>
      <c r="Z60" s="143"/>
      <c r="AA60" s="143"/>
      <c r="AB60" s="143"/>
      <c r="AC60" s="143"/>
      <c r="AD60" s="143"/>
      <c r="AE60" s="143"/>
      <c r="AF60" s="143"/>
      <c r="AG60" s="143"/>
    </row>
    <row r="61" spans="6:33" ht="15.75">
      <c r="F61" s="31"/>
      <c r="M61" s="158"/>
      <c r="N61" s="159"/>
      <c r="O61" s="143"/>
      <c r="P61" s="143"/>
      <c r="Q61" s="143"/>
      <c r="R61" s="143"/>
      <c r="S61" s="143"/>
      <c r="T61" s="143"/>
      <c r="U61" s="143"/>
      <c r="V61" s="143"/>
      <c r="W61" s="143"/>
      <c r="X61" s="143"/>
      <c r="Y61" s="143"/>
      <c r="Z61" s="143"/>
      <c r="AA61" s="143"/>
      <c r="AB61" s="143"/>
      <c r="AC61" s="143"/>
      <c r="AD61" s="143"/>
      <c r="AE61" s="143"/>
      <c r="AF61" s="143"/>
      <c r="AG61" s="143"/>
    </row>
    <row r="62" spans="13:33" ht="15.75">
      <c r="M62" s="158"/>
      <c r="N62" s="159"/>
      <c r="O62" s="143"/>
      <c r="P62" s="143"/>
      <c r="Q62" s="143"/>
      <c r="R62" s="143"/>
      <c r="S62" s="143"/>
      <c r="T62" s="143"/>
      <c r="U62" s="143"/>
      <c r="V62" s="143"/>
      <c r="W62" s="143"/>
      <c r="X62" s="143"/>
      <c r="Y62" s="143"/>
      <c r="Z62" s="143"/>
      <c r="AA62" s="143"/>
      <c r="AB62" s="143"/>
      <c r="AC62" s="143"/>
      <c r="AD62" s="143"/>
      <c r="AE62" s="143"/>
      <c r="AF62" s="143"/>
      <c r="AG62" s="143"/>
    </row>
    <row r="63" spans="13:33" ht="15.75">
      <c r="M63" s="158"/>
      <c r="N63" s="159"/>
      <c r="O63" s="143"/>
      <c r="P63" s="143"/>
      <c r="Q63" s="143"/>
      <c r="R63" s="143"/>
      <c r="S63" s="143"/>
      <c r="T63" s="143"/>
      <c r="U63" s="143"/>
      <c r="V63" s="143"/>
      <c r="W63" s="143"/>
      <c r="X63" s="143"/>
      <c r="Y63" s="143"/>
      <c r="Z63" s="143"/>
      <c r="AA63" s="143"/>
      <c r="AB63" s="143"/>
      <c r="AC63" s="143"/>
      <c r="AD63" s="143"/>
      <c r="AE63" s="143"/>
      <c r="AF63" s="143"/>
      <c r="AG63" s="143"/>
    </row>
    <row r="64" spans="13:33" ht="15.75">
      <c r="M64" s="158"/>
      <c r="N64" s="159"/>
      <c r="O64" s="143"/>
      <c r="P64" s="143"/>
      <c r="Q64" s="143"/>
      <c r="R64" s="143"/>
      <c r="S64" s="143"/>
      <c r="T64" s="143"/>
      <c r="U64" s="143"/>
      <c r="V64" s="143"/>
      <c r="W64" s="143"/>
      <c r="X64" s="143"/>
      <c r="Y64" s="143"/>
      <c r="Z64" s="143"/>
      <c r="AA64" s="143"/>
      <c r="AB64" s="143"/>
      <c r="AC64" s="143"/>
      <c r="AD64" s="143"/>
      <c r="AE64" s="143"/>
      <c r="AF64" s="143"/>
      <c r="AG64" s="143"/>
    </row>
    <row r="65" spans="13:33" ht="15.75">
      <c r="M65" s="158"/>
      <c r="N65" s="159"/>
      <c r="O65" s="143"/>
      <c r="P65" s="143"/>
      <c r="Q65" s="143"/>
      <c r="R65" s="143"/>
      <c r="S65" s="143"/>
      <c r="T65" s="143"/>
      <c r="U65" s="143"/>
      <c r="V65" s="143"/>
      <c r="W65" s="143"/>
      <c r="X65" s="143"/>
      <c r="Y65" s="143"/>
      <c r="Z65" s="143"/>
      <c r="AA65" s="143"/>
      <c r="AB65" s="143"/>
      <c r="AC65" s="143"/>
      <c r="AD65" s="143"/>
      <c r="AE65" s="143"/>
      <c r="AF65" s="143"/>
      <c r="AG65" s="143"/>
    </row>
    <row r="66" spans="13:33" ht="15.75">
      <c r="M66" s="158"/>
      <c r="N66" s="159"/>
      <c r="O66" s="143"/>
      <c r="P66" s="143"/>
      <c r="Q66" s="143"/>
      <c r="R66" s="143"/>
      <c r="S66" s="143"/>
      <c r="T66" s="143"/>
      <c r="U66" s="143"/>
      <c r="V66" s="143"/>
      <c r="W66" s="143"/>
      <c r="X66" s="143"/>
      <c r="Y66" s="143"/>
      <c r="Z66" s="143"/>
      <c r="AA66" s="143"/>
      <c r="AB66" s="143"/>
      <c r="AC66" s="143"/>
      <c r="AD66" s="143"/>
      <c r="AE66" s="143"/>
      <c r="AF66" s="143"/>
      <c r="AG66" s="143"/>
    </row>
    <row r="67" spans="13:33" ht="15.75">
      <c r="M67" s="158"/>
      <c r="N67" s="159"/>
      <c r="O67" s="143"/>
      <c r="P67" s="143"/>
      <c r="Q67" s="143"/>
      <c r="R67" s="143"/>
      <c r="S67" s="143"/>
      <c r="T67" s="143"/>
      <c r="U67" s="143"/>
      <c r="V67" s="143"/>
      <c r="W67" s="143"/>
      <c r="X67" s="143"/>
      <c r="Y67" s="143"/>
      <c r="Z67" s="143"/>
      <c r="AA67" s="143"/>
      <c r="AB67" s="143"/>
      <c r="AC67" s="143"/>
      <c r="AD67" s="143"/>
      <c r="AE67" s="143"/>
      <c r="AF67" s="143"/>
      <c r="AG67" s="143"/>
    </row>
    <row r="68" spans="13:33" ht="15.75">
      <c r="M68" s="158"/>
      <c r="N68" s="159"/>
      <c r="O68" s="143"/>
      <c r="P68" s="143"/>
      <c r="Q68" s="143"/>
      <c r="R68" s="143"/>
      <c r="S68" s="143"/>
      <c r="T68" s="143"/>
      <c r="U68" s="143"/>
      <c r="V68" s="143"/>
      <c r="W68" s="143"/>
      <c r="X68" s="143"/>
      <c r="Y68" s="143"/>
      <c r="Z68" s="143"/>
      <c r="AA68" s="143"/>
      <c r="AB68" s="143"/>
      <c r="AC68" s="143"/>
      <c r="AD68" s="143"/>
      <c r="AE68" s="143"/>
      <c r="AF68" s="143"/>
      <c r="AG68" s="143"/>
    </row>
    <row r="69" spans="13:33" ht="15.75">
      <c r="M69" s="158"/>
      <c r="N69" s="159"/>
      <c r="O69" s="143"/>
      <c r="P69" s="143"/>
      <c r="Q69" s="143"/>
      <c r="R69" s="143"/>
      <c r="S69" s="143"/>
      <c r="T69" s="143"/>
      <c r="U69" s="143"/>
      <c r="V69" s="143"/>
      <c r="W69" s="143"/>
      <c r="X69" s="143"/>
      <c r="Y69" s="143"/>
      <c r="Z69" s="143"/>
      <c r="AA69" s="143"/>
      <c r="AB69" s="143"/>
      <c r="AC69" s="143"/>
      <c r="AD69" s="143"/>
      <c r="AE69" s="143"/>
      <c r="AF69" s="143"/>
      <c r="AG69" s="143"/>
    </row>
    <row r="70" spans="13:33" ht="15.75">
      <c r="M70" s="158"/>
      <c r="N70" s="159"/>
      <c r="O70" s="143"/>
      <c r="P70" s="143"/>
      <c r="Q70" s="143"/>
      <c r="R70" s="143"/>
      <c r="S70" s="143"/>
      <c r="T70" s="143"/>
      <c r="U70" s="143"/>
      <c r="V70" s="143"/>
      <c r="W70" s="143"/>
      <c r="X70" s="143"/>
      <c r="Y70" s="143"/>
      <c r="Z70" s="143"/>
      <c r="AA70" s="143"/>
      <c r="AB70" s="143"/>
      <c r="AC70" s="143"/>
      <c r="AD70" s="143"/>
      <c r="AE70" s="143"/>
      <c r="AF70" s="143"/>
      <c r="AG70" s="143"/>
    </row>
    <row r="71" spans="13:33" ht="15.75">
      <c r="M71" s="158"/>
      <c r="N71" s="159"/>
      <c r="O71" s="143"/>
      <c r="P71" s="143"/>
      <c r="Q71" s="143"/>
      <c r="R71" s="143"/>
      <c r="S71" s="143"/>
      <c r="T71" s="143"/>
      <c r="U71" s="143"/>
      <c r="V71" s="143"/>
      <c r="W71" s="143"/>
      <c r="X71" s="143"/>
      <c r="Y71" s="143"/>
      <c r="Z71" s="143"/>
      <c r="AA71" s="143"/>
      <c r="AB71" s="143"/>
      <c r="AC71" s="143"/>
      <c r="AD71" s="143"/>
      <c r="AE71" s="143"/>
      <c r="AF71" s="143"/>
      <c r="AG71" s="143"/>
    </row>
    <row r="72" spans="13:33" ht="15.75">
      <c r="M72" s="158"/>
      <c r="N72" s="159"/>
      <c r="O72" s="143"/>
      <c r="P72" s="143"/>
      <c r="Q72" s="143"/>
      <c r="R72" s="143"/>
      <c r="S72" s="143"/>
      <c r="T72" s="143"/>
      <c r="U72" s="143"/>
      <c r="V72" s="143"/>
      <c r="W72" s="143"/>
      <c r="X72" s="143"/>
      <c r="Y72" s="143"/>
      <c r="Z72" s="143"/>
      <c r="AA72" s="143"/>
      <c r="AB72" s="143"/>
      <c r="AC72" s="143"/>
      <c r="AD72" s="143"/>
      <c r="AE72" s="143"/>
      <c r="AF72" s="143"/>
      <c r="AG72" s="143"/>
    </row>
    <row r="73" spans="13:33" ht="15.75">
      <c r="M73" s="158"/>
      <c r="N73" s="159"/>
      <c r="O73" s="143"/>
      <c r="P73" s="143"/>
      <c r="Q73" s="143"/>
      <c r="R73" s="143"/>
      <c r="S73" s="143"/>
      <c r="T73" s="143"/>
      <c r="U73" s="143"/>
      <c r="V73" s="143"/>
      <c r="W73" s="143"/>
      <c r="X73" s="143"/>
      <c r="Y73" s="143"/>
      <c r="Z73" s="143"/>
      <c r="AA73" s="143"/>
      <c r="AB73" s="143"/>
      <c r="AC73" s="143"/>
      <c r="AD73" s="143"/>
      <c r="AE73" s="143"/>
      <c r="AF73" s="143"/>
      <c r="AG73" s="143"/>
    </row>
    <row r="74" spans="13:33" ht="15.75">
      <c r="M74" s="158"/>
      <c r="N74" s="159"/>
      <c r="O74" s="143"/>
      <c r="P74" s="143"/>
      <c r="Q74" s="143"/>
      <c r="R74" s="143"/>
      <c r="S74" s="143"/>
      <c r="T74" s="143"/>
      <c r="U74" s="143"/>
      <c r="V74" s="143"/>
      <c r="W74" s="143"/>
      <c r="X74" s="143"/>
      <c r="Y74" s="143"/>
      <c r="Z74" s="143"/>
      <c r="AA74" s="143"/>
      <c r="AB74" s="143"/>
      <c r="AC74" s="143"/>
      <c r="AD74" s="143"/>
      <c r="AE74" s="143"/>
      <c r="AF74" s="143"/>
      <c r="AG74" s="143"/>
    </row>
    <row r="75" spans="13:33" ht="15.75">
      <c r="M75" s="158"/>
      <c r="N75" s="159"/>
      <c r="O75" s="143"/>
      <c r="P75" s="143"/>
      <c r="Q75" s="143"/>
      <c r="R75" s="143"/>
      <c r="S75" s="143"/>
      <c r="T75" s="143"/>
      <c r="U75" s="143"/>
      <c r="V75" s="143"/>
      <c r="W75" s="143"/>
      <c r="X75" s="143"/>
      <c r="Y75" s="143"/>
      <c r="Z75" s="143"/>
      <c r="AA75" s="143"/>
      <c r="AB75" s="143"/>
      <c r="AC75" s="143"/>
      <c r="AD75" s="143"/>
      <c r="AE75" s="143"/>
      <c r="AF75" s="143"/>
      <c r="AG75" s="143"/>
    </row>
    <row r="76" spans="13:33" ht="15.75">
      <c r="M76" s="158"/>
      <c r="N76" s="159"/>
      <c r="O76" s="143"/>
      <c r="P76" s="143"/>
      <c r="Q76" s="143"/>
      <c r="R76" s="143"/>
      <c r="S76" s="143"/>
      <c r="T76" s="143"/>
      <c r="U76" s="143"/>
      <c r="V76" s="143"/>
      <c r="W76" s="143"/>
      <c r="X76" s="143"/>
      <c r="Y76" s="143"/>
      <c r="Z76" s="143"/>
      <c r="AA76" s="143"/>
      <c r="AB76" s="143"/>
      <c r="AC76" s="143"/>
      <c r="AD76" s="143"/>
      <c r="AE76" s="143"/>
      <c r="AF76" s="143"/>
      <c r="AG76" s="143"/>
    </row>
    <row r="77" spans="13:33" ht="15.75">
      <c r="M77" s="158"/>
      <c r="N77" s="159"/>
      <c r="O77" s="143"/>
      <c r="P77" s="143"/>
      <c r="Q77" s="143"/>
      <c r="R77" s="143"/>
      <c r="S77" s="143"/>
      <c r="T77" s="143"/>
      <c r="U77" s="143"/>
      <c r="V77" s="143"/>
      <c r="W77" s="143"/>
      <c r="X77" s="143"/>
      <c r="Y77" s="143"/>
      <c r="Z77" s="143"/>
      <c r="AA77" s="143"/>
      <c r="AB77" s="143"/>
      <c r="AC77" s="143"/>
      <c r="AD77" s="143"/>
      <c r="AE77" s="143"/>
      <c r="AF77" s="143"/>
      <c r="AG77" s="143"/>
    </row>
    <row r="78" spans="13:33" ht="15.75">
      <c r="M78" s="158"/>
      <c r="N78" s="159"/>
      <c r="O78" s="143"/>
      <c r="P78" s="143"/>
      <c r="Q78" s="143"/>
      <c r="R78" s="143"/>
      <c r="S78" s="143"/>
      <c r="T78" s="143"/>
      <c r="U78" s="143"/>
      <c r="V78" s="143"/>
      <c r="W78" s="143"/>
      <c r="X78" s="143"/>
      <c r="Y78" s="143"/>
      <c r="Z78" s="143"/>
      <c r="AA78" s="143"/>
      <c r="AB78" s="143"/>
      <c r="AC78" s="143"/>
      <c r="AD78" s="143"/>
      <c r="AE78" s="143"/>
      <c r="AF78" s="143"/>
      <c r="AG78" s="143"/>
    </row>
    <row r="79" spans="13:33" ht="15.75">
      <c r="M79" s="158"/>
      <c r="N79" s="159"/>
      <c r="O79" s="143"/>
      <c r="P79" s="143"/>
      <c r="Q79" s="143"/>
      <c r="R79" s="143"/>
      <c r="S79" s="143"/>
      <c r="T79" s="143"/>
      <c r="U79" s="143"/>
      <c r="V79" s="143"/>
      <c r="W79" s="143"/>
      <c r="X79" s="143"/>
      <c r="Y79" s="143"/>
      <c r="Z79" s="143"/>
      <c r="AA79" s="143"/>
      <c r="AB79" s="143"/>
      <c r="AC79" s="143"/>
      <c r="AD79" s="143"/>
      <c r="AE79" s="143"/>
      <c r="AF79" s="143"/>
      <c r="AG79" s="143"/>
    </row>
    <row r="80" spans="13:33" ht="15.75">
      <c r="M80" s="158"/>
      <c r="N80" s="159"/>
      <c r="O80" s="143"/>
      <c r="P80" s="143"/>
      <c r="Q80" s="143"/>
      <c r="R80" s="143"/>
      <c r="S80" s="143"/>
      <c r="T80" s="143"/>
      <c r="U80" s="143"/>
      <c r="V80" s="143"/>
      <c r="W80" s="143"/>
      <c r="X80" s="143"/>
      <c r="Y80" s="143"/>
      <c r="Z80" s="143"/>
      <c r="AA80" s="143"/>
      <c r="AB80" s="143"/>
      <c r="AC80" s="143"/>
      <c r="AD80" s="143"/>
      <c r="AE80" s="143"/>
      <c r="AF80" s="143"/>
      <c r="AG80" s="143"/>
    </row>
    <row r="81" spans="13:33" ht="15.75">
      <c r="M81" s="158"/>
      <c r="N81" s="159"/>
      <c r="O81" s="143"/>
      <c r="P81" s="143"/>
      <c r="Q81" s="143"/>
      <c r="R81" s="143"/>
      <c r="S81" s="143"/>
      <c r="T81" s="143"/>
      <c r="U81" s="143"/>
      <c r="V81" s="143"/>
      <c r="W81" s="143"/>
      <c r="X81" s="143"/>
      <c r="Y81" s="143"/>
      <c r="Z81" s="143"/>
      <c r="AA81" s="143"/>
      <c r="AB81" s="143"/>
      <c r="AC81" s="143"/>
      <c r="AD81" s="143"/>
      <c r="AE81" s="143"/>
      <c r="AF81" s="143"/>
      <c r="AG81" s="143"/>
    </row>
    <row r="82" spans="13:33" ht="15.75">
      <c r="M82" s="158"/>
      <c r="N82" s="159"/>
      <c r="O82" s="143"/>
      <c r="P82" s="143"/>
      <c r="Q82" s="143"/>
      <c r="R82" s="143"/>
      <c r="S82" s="143"/>
      <c r="T82" s="143"/>
      <c r="U82" s="143"/>
      <c r="V82" s="143"/>
      <c r="W82" s="143"/>
      <c r="X82" s="143"/>
      <c r="Y82" s="143"/>
      <c r="Z82" s="143"/>
      <c r="AA82" s="143"/>
      <c r="AB82" s="143"/>
      <c r="AC82" s="143"/>
      <c r="AD82" s="143"/>
      <c r="AE82" s="143"/>
      <c r="AF82" s="143"/>
      <c r="AG82" s="143"/>
    </row>
    <row r="83" spans="13:33" ht="15.75">
      <c r="M83" s="158"/>
      <c r="N83" s="159"/>
      <c r="O83" s="143"/>
      <c r="P83" s="143"/>
      <c r="Q83" s="143"/>
      <c r="R83" s="143"/>
      <c r="S83" s="143"/>
      <c r="T83" s="143"/>
      <c r="U83" s="143"/>
      <c r="V83" s="143"/>
      <c r="W83" s="143"/>
      <c r="X83" s="143"/>
      <c r="Y83" s="143"/>
      <c r="Z83" s="143"/>
      <c r="AA83" s="143"/>
      <c r="AB83" s="143"/>
      <c r="AC83" s="143"/>
      <c r="AD83" s="143"/>
      <c r="AE83" s="143"/>
      <c r="AF83" s="143"/>
      <c r="AG83" s="143"/>
    </row>
    <row r="84" spans="13:33" ht="15.75">
      <c r="M84" s="158"/>
      <c r="N84" s="159"/>
      <c r="O84" s="143"/>
      <c r="P84" s="143"/>
      <c r="Q84" s="143"/>
      <c r="R84" s="143"/>
      <c r="S84" s="143"/>
      <c r="T84" s="143"/>
      <c r="U84" s="143"/>
      <c r="V84" s="143"/>
      <c r="W84" s="143"/>
      <c r="X84" s="143"/>
      <c r="Y84" s="143"/>
      <c r="Z84" s="143"/>
      <c r="AA84" s="143"/>
      <c r="AB84" s="143"/>
      <c r="AC84" s="143"/>
      <c r="AD84" s="143"/>
      <c r="AE84" s="143"/>
      <c r="AF84" s="143"/>
      <c r="AG84" s="143"/>
    </row>
    <row r="85" spans="13:33" ht="15.75">
      <c r="M85" s="158"/>
      <c r="N85" s="159"/>
      <c r="O85" s="143"/>
      <c r="P85" s="143"/>
      <c r="Q85" s="143"/>
      <c r="R85" s="143"/>
      <c r="S85" s="143"/>
      <c r="T85" s="143"/>
      <c r="U85" s="143"/>
      <c r="V85" s="143"/>
      <c r="W85" s="143"/>
      <c r="X85" s="143"/>
      <c r="Y85" s="143"/>
      <c r="Z85" s="143"/>
      <c r="AA85" s="143"/>
      <c r="AB85" s="143"/>
      <c r="AC85" s="143"/>
      <c r="AD85" s="143"/>
      <c r="AE85" s="143"/>
      <c r="AF85" s="143"/>
      <c r="AG85" s="143"/>
    </row>
    <row r="86" spans="13:33" ht="15.75">
      <c r="M86" s="158"/>
      <c r="N86" s="159"/>
      <c r="O86" s="143"/>
      <c r="P86" s="143"/>
      <c r="Q86" s="143"/>
      <c r="R86" s="143"/>
      <c r="S86" s="143"/>
      <c r="T86" s="143"/>
      <c r="U86" s="143"/>
      <c r="V86" s="143"/>
      <c r="W86" s="143"/>
      <c r="X86" s="143"/>
      <c r="Y86" s="143"/>
      <c r="Z86" s="143"/>
      <c r="AA86" s="143"/>
      <c r="AB86" s="143"/>
      <c r="AC86" s="143"/>
      <c r="AD86" s="143"/>
      <c r="AE86" s="143"/>
      <c r="AF86" s="143"/>
      <c r="AG86" s="143"/>
    </row>
    <row r="87" spans="13:33" ht="15.75">
      <c r="M87" s="158"/>
      <c r="N87" s="159"/>
      <c r="O87" s="143"/>
      <c r="P87" s="143"/>
      <c r="Q87" s="143"/>
      <c r="R87" s="143"/>
      <c r="S87" s="143"/>
      <c r="T87" s="143"/>
      <c r="U87" s="143"/>
      <c r="V87" s="143"/>
      <c r="W87" s="143"/>
      <c r="X87" s="143"/>
      <c r="Y87" s="143"/>
      <c r="Z87" s="143"/>
      <c r="AA87" s="143"/>
      <c r="AB87" s="143"/>
      <c r="AC87" s="143"/>
      <c r="AD87" s="143"/>
      <c r="AE87" s="143"/>
      <c r="AF87" s="143"/>
      <c r="AG87" s="143"/>
    </row>
    <row r="88" spans="13:33" ht="15.75">
      <c r="M88" s="158"/>
      <c r="N88" s="159"/>
      <c r="O88" s="143"/>
      <c r="P88" s="143"/>
      <c r="Q88" s="143"/>
      <c r="R88" s="143"/>
      <c r="S88" s="143"/>
      <c r="T88" s="143"/>
      <c r="U88" s="143"/>
      <c r="V88" s="143"/>
      <c r="W88" s="143"/>
      <c r="X88" s="143"/>
      <c r="Y88" s="143"/>
      <c r="Z88" s="143"/>
      <c r="AA88" s="143"/>
      <c r="AB88" s="143"/>
      <c r="AC88" s="143"/>
      <c r="AD88" s="143"/>
      <c r="AE88" s="143"/>
      <c r="AF88" s="143"/>
      <c r="AG88" s="143"/>
    </row>
    <row r="89" spans="13:33" ht="15.75">
      <c r="M89" s="158"/>
      <c r="N89" s="159"/>
      <c r="O89" s="143"/>
      <c r="P89" s="143"/>
      <c r="Q89" s="143"/>
      <c r="R89" s="143"/>
      <c r="S89" s="143"/>
      <c r="T89" s="143"/>
      <c r="U89" s="143"/>
      <c r="V89" s="143"/>
      <c r="W89" s="143"/>
      <c r="X89" s="143"/>
      <c r="Y89" s="143"/>
      <c r="Z89" s="143"/>
      <c r="AA89" s="143"/>
      <c r="AB89" s="143"/>
      <c r="AC89" s="143"/>
      <c r="AD89" s="143"/>
      <c r="AE89" s="143"/>
      <c r="AF89" s="143"/>
      <c r="AG89" s="143"/>
    </row>
    <row r="90" spans="13:33" ht="15.75">
      <c r="M90" s="158"/>
      <c r="N90" s="159"/>
      <c r="O90" s="143"/>
      <c r="P90" s="143"/>
      <c r="Q90" s="143"/>
      <c r="R90" s="143"/>
      <c r="S90" s="143"/>
      <c r="T90" s="143"/>
      <c r="U90" s="143"/>
      <c r="V90" s="143"/>
      <c r="W90" s="143"/>
      <c r="X90" s="143"/>
      <c r="Y90" s="143"/>
      <c r="Z90" s="143"/>
      <c r="AA90" s="143"/>
      <c r="AB90" s="143"/>
      <c r="AC90" s="143"/>
      <c r="AD90" s="143"/>
      <c r="AE90" s="143"/>
      <c r="AF90" s="143"/>
      <c r="AG90" s="143"/>
    </row>
    <row r="91" spans="13:33" ht="15.75">
      <c r="M91" s="158"/>
      <c r="N91" s="159"/>
      <c r="O91" s="143"/>
      <c r="P91" s="143"/>
      <c r="Q91" s="143"/>
      <c r="R91" s="143"/>
      <c r="S91" s="143"/>
      <c r="T91" s="143"/>
      <c r="U91" s="143"/>
      <c r="V91" s="143"/>
      <c r="W91" s="143"/>
      <c r="X91" s="143"/>
      <c r="Y91" s="143"/>
      <c r="Z91" s="143"/>
      <c r="AA91" s="143"/>
      <c r="AB91" s="143"/>
      <c r="AC91" s="143"/>
      <c r="AD91" s="143"/>
      <c r="AE91" s="143"/>
      <c r="AF91" s="143"/>
      <c r="AG91" s="143"/>
    </row>
    <row r="92" spans="13:33" ht="15.75">
      <c r="M92" s="158"/>
      <c r="N92" s="159"/>
      <c r="O92" s="143"/>
      <c r="P92" s="143"/>
      <c r="Q92" s="143"/>
      <c r="R92" s="143"/>
      <c r="S92" s="143"/>
      <c r="T92" s="143"/>
      <c r="U92" s="143"/>
      <c r="V92" s="143"/>
      <c r="W92" s="143"/>
      <c r="X92" s="143"/>
      <c r="Y92" s="143"/>
      <c r="Z92" s="143"/>
      <c r="AA92" s="143"/>
      <c r="AB92" s="143"/>
      <c r="AC92" s="143"/>
      <c r="AD92" s="143"/>
      <c r="AE92" s="143"/>
      <c r="AF92" s="143"/>
      <c r="AG92" s="143"/>
    </row>
    <row r="93" spans="13:33" ht="15.75">
      <c r="M93" s="158"/>
      <c r="N93" s="159"/>
      <c r="O93" s="143"/>
      <c r="P93" s="143"/>
      <c r="Q93" s="143"/>
      <c r="R93" s="143"/>
      <c r="S93" s="143"/>
      <c r="T93" s="143"/>
      <c r="U93" s="143"/>
      <c r="V93" s="143"/>
      <c r="W93" s="143"/>
      <c r="X93" s="143"/>
      <c r="Y93" s="143"/>
      <c r="Z93" s="143"/>
      <c r="AA93" s="143"/>
      <c r="AB93" s="143"/>
      <c r="AC93" s="143"/>
      <c r="AD93" s="143"/>
      <c r="AE93" s="143"/>
      <c r="AF93" s="143"/>
      <c r="AG93" s="143"/>
    </row>
    <row r="94" spans="13:33" ht="15.75">
      <c r="M94" s="158"/>
      <c r="N94" s="159"/>
      <c r="O94" s="143"/>
      <c r="P94" s="143"/>
      <c r="Q94" s="143"/>
      <c r="R94" s="143"/>
      <c r="S94" s="143"/>
      <c r="T94" s="143"/>
      <c r="U94" s="143"/>
      <c r="V94" s="143"/>
      <c r="W94" s="143"/>
      <c r="X94" s="143"/>
      <c r="Y94" s="143"/>
      <c r="Z94" s="143"/>
      <c r="AA94" s="143"/>
      <c r="AB94" s="143"/>
      <c r="AC94" s="143"/>
      <c r="AD94" s="143"/>
      <c r="AE94" s="143"/>
      <c r="AF94" s="143"/>
      <c r="AG94" s="143"/>
    </row>
    <row r="95" spans="13:33" ht="15.75">
      <c r="M95" s="158"/>
      <c r="N95" s="159"/>
      <c r="O95" s="143"/>
      <c r="P95" s="143"/>
      <c r="Q95" s="143"/>
      <c r="R95" s="143"/>
      <c r="S95" s="143"/>
      <c r="T95" s="143"/>
      <c r="U95" s="143"/>
      <c r="V95" s="143"/>
      <c r="W95" s="143"/>
      <c r="X95" s="143"/>
      <c r="Y95" s="143"/>
      <c r="Z95" s="143"/>
      <c r="AA95" s="143"/>
      <c r="AB95" s="143"/>
      <c r="AC95" s="143"/>
      <c r="AD95" s="143"/>
      <c r="AE95" s="143"/>
      <c r="AF95" s="143"/>
      <c r="AG95" s="143"/>
    </row>
    <row r="96" spans="13:33" ht="15.75">
      <c r="M96" s="158"/>
      <c r="N96" s="159"/>
      <c r="O96" s="143"/>
      <c r="P96" s="143"/>
      <c r="Q96" s="143"/>
      <c r="R96" s="143"/>
      <c r="S96" s="143"/>
      <c r="T96" s="143"/>
      <c r="U96" s="143"/>
      <c r="V96" s="143"/>
      <c r="W96" s="143"/>
      <c r="X96" s="143"/>
      <c r="Y96" s="143"/>
      <c r="Z96" s="143"/>
      <c r="AA96" s="143"/>
      <c r="AB96" s="143"/>
      <c r="AC96" s="143"/>
      <c r="AD96" s="143"/>
      <c r="AE96" s="143"/>
      <c r="AF96" s="143"/>
      <c r="AG96" s="143"/>
    </row>
    <row r="97" spans="13:33" ht="15.75">
      <c r="M97" s="158"/>
      <c r="N97" s="159"/>
      <c r="O97" s="143"/>
      <c r="P97" s="143"/>
      <c r="Q97" s="143"/>
      <c r="R97" s="143"/>
      <c r="S97" s="143"/>
      <c r="T97" s="143"/>
      <c r="U97" s="143"/>
      <c r="V97" s="143"/>
      <c r="W97" s="143"/>
      <c r="X97" s="143"/>
      <c r="Y97" s="143"/>
      <c r="Z97" s="143"/>
      <c r="AA97" s="143"/>
      <c r="AB97" s="143"/>
      <c r="AC97" s="143"/>
      <c r="AD97" s="143"/>
      <c r="AE97" s="143"/>
      <c r="AF97" s="143"/>
      <c r="AG97" s="143"/>
    </row>
    <row r="98" spans="13:33" ht="15.75">
      <c r="M98" s="158"/>
      <c r="N98" s="159"/>
      <c r="O98" s="143"/>
      <c r="P98" s="143"/>
      <c r="Q98" s="143"/>
      <c r="R98" s="143"/>
      <c r="S98" s="143"/>
      <c r="T98" s="143"/>
      <c r="U98" s="143"/>
      <c r="V98" s="143"/>
      <c r="W98" s="143"/>
      <c r="X98" s="143"/>
      <c r="Y98" s="143"/>
      <c r="Z98" s="143"/>
      <c r="AA98" s="143"/>
      <c r="AB98" s="143"/>
      <c r="AC98" s="143"/>
      <c r="AD98" s="143"/>
      <c r="AE98" s="143"/>
      <c r="AF98" s="143"/>
      <c r="AG98" s="143"/>
    </row>
    <row r="99" spans="13:33" ht="15.75">
      <c r="M99" s="158"/>
      <c r="N99" s="159"/>
      <c r="O99" s="143"/>
      <c r="P99" s="143"/>
      <c r="Q99" s="143"/>
      <c r="R99" s="143"/>
      <c r="S99" s="143"/>
      <c r="T99" s="143"/>
      <c r="U99" s="143"/>
      <c r="V99" s="143"/>
      <c r="W99" s="143"/>
      <c r="X99" s="143"/>
      <c r="Y99" s="143"/>
      <c r="Z99" s="143"/>
      <c r="AA99" s="143"/>
      <c r="AB99" s="143"/>
      <c r="AC99" s="143"/>
      <c r="AD99" s="143"/>
      <c r="AE99" s="143"/>
      <c r="AF99" s="143"/>
      <c r="AG99" s="143"/>
    </row>
    <row r="100" spans="13:33" ht="15.75">
      <c r="M100" s="158"/>
      <c r="N100" s="159"/>
      <c r="O100" s="143"/>
      <c r="P100" s="143"/>
      <c r="Q100" s="143"/>
      <c r="R100" s="143"/>
      <c r="S100" s="143"/>
      <c r="T100" s="143"/>
      <c r="U100" s="143"/>
      <c r="V100" s="143"/>
      <c r="W100" s="143"/>
      <c r="X100" s="143"/>
      <c r="Y100" s="143"/>
      <c r="Z100" s="143"/>
      <c r="AA100" s="143"/>
      <c r="AB100" s="143"/>
      <c r="AC100" s="143"/>
      <c r="AD100" s="143"/>
      <c r="AE100" s="143"/>
      <c r="AF100" s="143"/>
      <c r="AG100" s="143"/>
    </row>
    <row r="101" spans="13:33" ht="15.75">
      <c r="M101" s="158"/>
      <c r="N101" s="159"/>
      <c r="O101" s="143"/>
      <c r="P101" s="143"/>
      <c r="Q101" s="143"/>
      <c r="R101" s="143"/>
      <c r="S101" s="143"/>
      <c r="T101" s="143"/>
      <c r="U101" s="143"/>
      <c r="V101" s="143"/>
      <c r="W101" s="143"/>
      <c r="X101" s="143"/>
      <c r="Y101" s="143"/>
      <c r="Z101" s="143"/>
      <c r="AA101" s="143"/>
      <c r="AB101" s="143"/>
      <c r="AC101" s="143"/>
      <c r="AD101" s="143"/>
      <c r="AE101" s="143"/>
      <c r="AF101" s="143"/>
      <c r="AG101" s="143"/>
    </row>
    <row r="102" spans="13:33" ht="15.75">
      <c r="M102" s="158"/>
      <c r="N102" s="159"/>
      <c r="O102" s="143"/>
      <c r="P102" s="143"/>
      <c r="Q102" s="143"/>
      <c r="R102" s="143"/>
      <c r="S102" s="143"/>
      <c r="T102" s="143"/>
      <c r="U102" s="143"/>
      <c r="V102" s="143"/>
      <c r="W102" s="143"/>
      <c r="X102" s="143"/>
      <c r="Y102" s="143"/>
      <c r="Z102" s="143"/>
      <c r="AA102" s="143"/>
      <c r="AB102" s="143"/>
      <c r="AC102" s="143"/>
      <c r="AD102" s="143"/>
      <c r="AE102" s="143"/>
      <c r="AF102" s="143"/>
      <c r="AG102" s="143"/>
    </row>
    <row r="103" spans="13:33" ht="15.75">
      <c r="M103" s="158"/>
      <c r="N103" s="159"/>
      <c r="O103" s="143"/>
      <c r="P103" s="143"/>
      <c r="Q103" s="143"/>
      <c r="R103" s="143"/>
      <c r="S103" s="143"/>
      <c r="T103" s="143"/>
      <c r="U103" s="143"/>
      <c r="V103" s="143"/>
      <c r="W103" s="143"/>
      <c r="X103" s="143"/>
      <c r="Y103" s="143"/>
      <c r="Z103" s="143"/>
      <c r="AA103" s="143"/>
      <c r="AB103" s="143"/>
      <c r="AC103" s="143"/>
      <c r="AD103" s="143"/>
      <c r="AE103" s="143"/>
      <c r="AF103" s="143"/>
      <c r="AG103" s="143"/>
    </row>
    <row r="104" spans="13:33" ht="15.75">
      <c r="M104" s="158"/>
      <c r="N104" s="159"/>
      <c r="O104" s="143"/>
      <c r="P104" s="143"/>
      <c r="Q104" s="143"/>
      <c r="R104" s="143"/>
      <c r="S104" s="143"/>
      <c r="T104" s="143"/>
      <c r="U104" s="143"/>
      <c r="V104" s="143"/>
      <c r="W104" s="143"/>
      <c r="X104" s="143"/>
      <c r="Y104" s="143"/>
      <c r="Z104" s="143"/>
      <c r="AA104" s="143"/>
      <c r="AB104" s="143"/>
      <c r="AC104" s="143"/>
      <c r="AD104" s="143"/>
      <c r="AE104" s="143"/>
      <c r="AF104" s="143"/>
      <c r="AG104" s="143"/>
    </row>
    <row r="105" spans="13:33" ht="15.75">
      <c r="M105" s="158"/>
      <c r="N105" s="159"/>
      <c r="O105" s="143"/>
      <c r="P105" s="143"/>
      <c r="Q105" s="143"/>
      <c r="R105" s="143"/>
      <c r="S105" s="143"/>
      <c r="T105" s="143"/>
      <c r="U105" s="143"/>
      <c r="V105" s="143"/>
      <c r="W105" s="143"/>
      <c r="X105" s="143"/>
      <c r="Y105" s="143"/>
      <c r="Z105" s="143"/>
      <c r="AA105" s="143"/>
      <c r="AB105" s="143"/>
      <c r="AC105" s="143"/>
      <c r="AD105" s="143"/>
      <c r="AE105" s="143"/>
      <c r="AF105" s="143"/>
      <c r="AG105" s="143"/>
    </row>
    <row r="106" spans="13:33" ht="15.75">
      <c r="M106" s="158"/>
      <c r="N106" s="159"/>
      <c r="O106" s="143"/>
      <c r="P106" s="143"/>
      <c r="Q106" s="143"/>
      <c r="R106" s="143"/>
      <c r="S106" s="143"/>
      <c r="T106" s="143"/>
      <c r="U106" s="143"/>
      <c r="V106" s="143"/>
      <c r="W106" s="143"/>
      <c r="X106" s="143"/>
      <c r="Y106" s="143"/>
      <c r="Z106" s="143"/>
      <c r="AA106" s="143"/>
      <c r="AB106" s="143"/>
      <c r="AC106" s="143"/>
      <c r="AD106" s="143"/>
      <c r="AE106" s="143"/>
      <c r="AF106" s="143"/>
      <c r="AG106" s="143"/>
    </row>
    <row r="107" spans="13:33" ht="15.75">
      <c r="M107" s="158"/>
      <c r="N107" s="159"/>
      <c r="O107" s="143"/>
      <c r="P107" s="143"/>
      <c r="Q107" s="143"/>
      <c r="R107" s="143"/>
      <c r="S107" s="143"/>
      <c r="T107" s="143"/>
      <c r="U107" s="143"/>
      <c r="V107" s="143"/>
      <c r="W107" s="143"/>
      <c r="X107" s="143"/>
      <c r="Y107" s="143"/>
      <c r="Z107" s="143"/>
      <c r="AA107" s="143"/>
      <c r="AB107" s="143"/>
      <c r="AC107" s="143"/>
      <c r="AD107" s="143"/>
      <c r="AE107" s="143"/>
      <c r="AF107" s="143"/>
      <c r="AG107" s="143"/>
    </row>
    <row r="108" spans="13:33" ht="15.75">
      <c r="M108" s="158"/>
      <c r="N108" s="159"/>
      <c r="O108" s="143"/>
      <c r="P108" s="143"/>
      <c r="Q108" s="143"/>
      <c r="R108" s="143"/>
      <c r="S108" s="143"/>
      <c r="T108" s="143"/>
      <c r="U108" s="143"/>
      <c r="V108" s="143"/>
      <c r="W108" s="143"/>
      <c r="X108" s="143"/>
      <c r="Y108" s="143"/>
      <c r="Z108" s="143"/>
      <c r="AA108" s="143"/>
      <c r="AB108" s="143"/>
      <c r="AC108" s="143"/>
      <c r="AD108" s="143"/>
      <c r="AE108" s="143"/>
      <c r="AF108" s="143"/>
      <c r="AG108" s="143"/>
    </row>
    <row r="109" spans="13:33" ht="15.75">
      <c r="M109" s="158"/>
      <c r="N109" s="159"/>
      <c r="O109" s="143"/>
      <c r="P109" s="143"/>
      <c r="Q109" s="143"/>
      <c r="R109" s="143"/>
      <c r="S109" s="143"/>
      <c r="T109" s="143"/>
      <c r="U109" s="143"/>
      <c r="V109" s="143"/>
      <c r="W109" s="143"/>
      <c r="X109" s="143"/>
      <c r="Y109" s="143"/>
      <c r="Z109" s="143"/>
      <c r="AA109" s="143"/>
      <c r="AB109" s="143"/>
      <c r="AC109" s="143"/>
      <c r="AD109" s="143"/>
      <c r="AE109" s="143"/>
      <c r="AF109" s="143"/>
      <c r="AG109" s="143"/>
    </row>
    <row r="110" spans="13:33" ht="15.75">
      <c r="M110" s="158"/>
      <c r="N110" s="159"/>
      <c r="O110" s="143"/>
      <c r="P110" s="143"/>
      <c r="Q110" s="143"/>
      <c r="R110" s="143"/>
      <c r="S110" s="143"/>
      <c r="T110" s="143"/>
      <c r="U110" s="143"/>
      <c r="V110" s="143"/>
      <c r="W110" s="143"/>
      <c r="X110" s="143"/>
      <c r="Y110" s="143"/>
      <c r="Z110" s="143"/>
      <c r="AA110" s="143"/>
      <c r="AB110" s="143"/>
      <c r="AC110" s="143"/>
      <c r="AD110" s="143"/>
      <c r="AE110" s="143"/>
      <c r="AF110" s="143"/>
      <c r="AG110" s="143"/>
    </row>
    <row r="111" spans="13:33" ht="15.75">
      <c r="M111" s="158"/>
      <c r="N111" s="159"/>
      <c r="O111" s="143"/>
      <c r="P111" s="143"/>
      <c r="Q111" s="143"/>
      <c r="R111" s="143"/>
      <c r="S111" s="143"/>
      <c r="T111" s="143"/>
      <c r="U111" s="143"/>
      <c r="V111" s="143"/>
      <c r="W111" s="143"/>
      <c r="X111" s="143"/>
      <c r="Y111" s="143"/>
      <c r="Z111" s="143"/>
      <c r="AA111" s="143"/>
      <c r="AB111" s="143"/>
      <c r="AC111" s="143"/>
      <c r="AD111" s="143"/>
      <c r="AE111" s="143"/>
      <c r="AF111" s="143"/>
      <c r="AG111" s="143"/>
    </row>
    <row r="112" spans="13:33" ht="15.75">
      <c r="M112" s="158"/>
      <c r="N112" s="159"/>
      <c r="O112" s="143"/>
      <c r="P112" s="143"/>
      <c r="Q112" s="143"/>
      <c r="R112" s="143"/>
      <c r="S112" s="143"/>
      <c r="T112" s="143"/>
      <c r="U112" s="143"/>
      <c r="V112" s="143"/>
      <c r="W112" s="143"/>
      <c r="X112" s="143"/>
      <c r="Y112" s="143"/>
      <c r="Z112" s="143"/>
      <c r="AA112" s="143"/>
      <c r="AB112" s="143"/>
      <c r="AC112" s="143"/>
      <c r="AD112" s="143"/>
      <c r="AE112" s="143"/>
      <c r="AF112" s="143"/>
      <c r="AG112" s="143"/>
    </row>
    <row r="113" spans="13:33" ht="15.75">
      <c r="M113" s="158"/>
      <c r="N113" s="159"/>
      <c r="O113" s="143"/>
      <c r="P113" s="143"/>
      <c r="Q113" s="143"/>
      <c r="R113" s="143"/>
      <c r="S113" s="143"/>
      <c r="T113" s="143"/>
      <c r="U113" s="143"/>
      <c r="V113" s="143"/>
      <c r="W113" s="143"/>
      <c r="X113" s="143"/>
      <c r="Y113" s="143"/>
      <c r="Z113" s="143"/>
      <c r="AA113" s="143"/>
      <c r="AB113" s="143"/>
      <c r="AC113" s="143"/>
      <c r="AD113" s="143"/>
      <c r="AE113" s="143"/>
      <c r="AF113" s="143"/>
      <c r="AG113" s="143"/>
    </row>
    <row r="114" spans="13:33" ht="15.75">
      <c r="M114" s="158"/>
      <c r="N114" s="159"/>
      <c r="O114" s="143"/>
      <c r="P114" s="143"/>
      <c r="Q114" s="143"/>
      <c r="R114" s="143"/>
      <c r="S114" s="143"/>
      <c r="T114" s="143"/>
      <c r="U114" s="143"/>
      <c r="V114" s="143"/>
      <c r="W114" s="143"/>
      <c r="X114" s="143"/>
      <c r="Y114" s="143"/>
      <c r="Z114" s="143"/>
      <c r="AA114" s="143"/>
      <c r="AB114" s="143"/>
      <c r="AC114" s="143"/>
      <c r="AD114" s="143"/>
      <c r="AE114" s="143"/>
      <c r="AF114" s="143"/>
      <c r="AG114" s="143"/>
    </row>
    <row r="115" spans="13:33" ht="15.75">
      <c r="M115" s="158"/>
      <c r="N115" s="159"/>
      <c r="O115" s="143"/>
      <c r="P115" s="143"/>
      <c r="Q115" s="143"/>
      <c r="R115" s="143"/>
      <c r="S115" s="143"/>
      <c r="T115" s="143"/>
      <c r="U115" s="143"/>
      <c r="V115" s="143"/>
      <c r="W115" s="143"/>
      <c r="X115" s="143"/>
      <c r="Y115" s="143"/>
      <c r="Z115" s="143"/>
      <c r="AA115" s="143"/>
      <c r="AB115" s="143"/>
      <c r="AC115" s="143"/>
      <c r="AD115" s="143"/>
      <c r="AE115" s="143"/>
      <c r="AF115" s="143"/>
      <c r="AG115" s="143"/>
    </row>
    <row r="116" spans="13:33" ht="15.75">
      <c r="M116" s="158"/>
      <c r="N116" s="159"/>
      <c r="O116" s="143"/>
      <c r="P116" s="143"/>
      <c r="Q116" s="143"/>
      <c r="R116" s="143"/>
      <c r="S116" s="143"/>
      <c r="T116" s="143"/>
      <c r="U116" s="143"/>
      <c r="V116" s="143"/>
      <c r="W116" s="143"/>
      <c r="X116" s="143"/>
      <c r="Y116" s="143"/>
      <c r="Z116" s="143"/>
      <c r="AA116" s="143"/>
      <c r="AB116" s="143"/>
      <c r="AC116" s="143"/>
      <c r="AD116" s="143"/>
      <c r="AE116" s="143"/>
      <c r="AF116" s="143"/>
      <c r="AG116" s="143"/>
    </row>
    <row r="117" spans="13:33" ht="15.75">
      <c r="M117" s="158"/>
      <c r="N117" s="159"/>
      <c r="O117" s="143"/>
      <c r="P117" s="143"/>
      <c r="Q117" s="143"/>
      <c r="R117" s="143"/>
      <c r="S117" s="143"/>
      <c r="T117" s="143"/>
      <c r="U117" s="143"/>
      <c r="V117" s="143"/>
      <c r="W117" s="143"/>
      <c r="X117" s="143"/>
      <c r="Y117" s="143"/>
      <c r="Z117" s="143"/>
      <c r="AA117" s="143"/>
      <c r="AB117" s="143"/>
      <c r="AC117" s="143"/>
      <c r="AD117" s="143"/>
      <c r="AE117" s="143"/>
      <c r="AF117" s="143"/>
      <c r="AG117" s="143"/>
    </row>
    <row r="118" spans="13:33" ht="15.75">
      <c r="M118" s="158"/>
      <c r="N118" s="159"/>
      <c r="O118" s="143"/>
      <c r="P118" s="143"/>
      <c r="Q118" s="143"/>
      <c r="R118" s="143"/>
      <c r="S118" s="143"/>
      <c r="T118" s="143"/>
      <c r="U118" s="143"/>
      <c r="V118" s="143"/>
      <c r="W118" s="143"/>
      <c r="X118" s="143"/>
      <c r="Y118" s="143"/>
      <c r="Z118" s="143"/>
      <c r="AA118" s="143"/>
      <c r="AB118" s="143"/>
      <c r="AC118" s="143"/>
      <c r="AD118" s="143"/>
      <c r="AE118" s="143"/>
      <c r="AF118" s="143"/>
      <c r="AG118" s="143"/>
    </row>
    <row r="119" spans="13:33" ht="15.75">
      <c r="M119" s="158"/>
      <c r="N119" s="159"/>
      <c r="O119" s="143"/>
      <c r="P119" s="143"/>
      <c r="Q119" s="143"/>
      <c r="R119" s="143"/>
      <c r="S119" s="143"/>
      <c r="T119" s="143"/>
      <c r="U119" s="143"/>
      <c r="V119" s="143"/>
      <c r="W119" s="143"/>
      <c r="X119" s="143"/>
      <c r="Y119" s="143"/>
      <c r="Z119" s="143"/>
      <c r="AA119" s="143"/>
      <c r="AB119" s="143"/>
      <c r="AC119" s="143"/>
      <c r="AD119" s="143"/>
      <c r="AE119" s="143"/>
      <c r="AF119" s="143"/>
      <c r="AG119" s="143"/>
    </row>
    <row r="120" spans="13:33" ht="15.75">
      <c r="M120" s="158"/>
      <c r="N120" s="159"/>
      <c r="O120" s="143"/>
      <c r="P120" s="143"/>
      <c r="Q120" s="143"/>
      <c r="R120" s="143"/>
      <c r="S120" s="143"/>
      <c r="T120" s="143"/>
      <c r="U120" s="143"/>
      <c r="V120" s="143"/>
      <c r="W120" s="143"/>
      <c r="X120" s="143"/>
      <c r="Y120" s="143"/>
      <c r="Z120" s="143"/>
      <c r="AA120" s="143"/>
      <c r="AB120" s="143"/>
      <c r="AC120" s="143"/>
      <c r="AD120" s="143"/>
      <c r="AE120" s="143"/>
      <c r="AF120" s="143"/>
      <c r="AG120" s="143"/>
    </row>
    <row r="121" spans="13:33" ht="15.75">
      <c r="M121" s="158"/>
      <c r="N121" s="159"/>
      <c r="O121" s="143"/>
      <c r="P121" s="143"/>
      <c r="Q121" s="143"/>
      <c r="R121" s="143"/>
      <c r="S121" s="143"/>
      <c r="T121" s="143"/>
      <c r="U121" s="143"/>
      <c r="V121" s="143"/>
      <c r="W121" s="143"/>
      <c r="X121" s="143"/>
      <c r="Y121" s="143"/>
      <c r="Z121" s="143"/>
      <c r="AA121" s="143"/>
      <c r="AB121" s="143"/>
      <c r="AC121" s="143"/>
      <c r="AD121" s="143"/>
      <c r="AE121" s="143"/>
      <c r="AF121" s="143"/>
      <c r="AG121" s="143"/>
    </row>
    <row r="122" spans="13:33" ht="15.75">
      <c r="M122" s="158"/>
      <c r="N122" s="159"/>
      <c r="O122" s="143"/>
      <c r="P122" s="143"/>
      <c r="Q122" s="143"/>
      <c r="R122" s="143"/>
      <c r="S122" s="143"/>
      <c r="T122" s="143"/>
      <c r="U122" s="143"/>
      <c r="V122" s="143"/>
      <c r="W122" s="143"/>
      <c r="X122" s="143"/>
      <c r="Y122" s="143"/>
      <c r="Z122" s="143"/>
      <c r="AA122" s="143"/>
      <c r="AB122" s="143"/>
      <c r="AC122" s="143"/>
      <c r="AD122" s="143"/>
      <c r="AE122" s="143"/>
      <c r="AF122" s="143"/>
      <c r="AG122" s="143"/>
    </row>
    <row r="123" spans="13:33" ht="15.75">
      <c r="M123" s="158"/>
      <c r="N123" s="159"/>
      <c r="O123" s="143"/>
      <c r="P123" s="143"/>
      <c r="Q123" s="143"/>
      <c r="R123" s="143"/>
      <c r="S123" s="143"/>
      <c r="T123" s="143"/>
      <c r="U123" s="143"/>
      <c r="V123" s="143"/>
      <c r="W123" s="143"/>
      <c r="X123" s="143"/>
      <c r="Y123" s="143"/>
      <c r="Z123" s="143"/>
      <c r="AA123" s="143"/>
      <c r="AB123" s="143"/>
      <c r="AC123" s="143"/>
      <c r="AD123" s="143"/>
      <c r="AE123" s="143"/>
      <c r="AF123" s="143"/>
      <c r="AG123" s="143"/>
    </row>
    <row r="124" spans="13:33" ht="15.75">
      <c r="M124" s="158"/>
      <c r="N124" s="159"/>
      <c r="O124" s="143"/>
      <c r="P124" s="143"/>
      <c r="Q124" s="143"/>
      <c r="R124" s="143"/>
      <c r="S124" s="143"/>
      <c r="T124" s="143"/>
      <c r="U124" s="143"/>
      <c r="V124" s="143"/>
      <c r="W124" s="143"/>
      <c r="X124" s="143"/>
      <c r="Y124" s="143"/>
      <c r="Z124" s="143"/>
      <c r="AA124" s="143"/>
      <c r="AB124" s="143"/>
      <c r="AC124" s="143"/>
      <c r="AD124" s="143"/>
      <c r="AE124" s="143"/>
      <c r="AF124" s="143"/>
      <c r="AG124" s="143"/>
    </row>
    <row r="125" spans="13:33" ht="15.75">
      <c r="M125" s="158"/>
      <c r="N125" s="159"/>
      <c r="O125" s="143"/>
      <c r="P125" s="143"/>
      <c r="Q125" s="143"/>
      <c r="R125" s="143"/>
      <c r="S125" s="143"/>
      <c r="T125" s="143"/>
      <c r="U125" s="143"/>
      <c r="V125" s="143"/>
      <c r="W125" s="143"/>
      <c r="X125" s="143"/>
      <c r="Y125" s="143"/>
      <c r="Z125" s="143"/>
      <c r="AA125" s="143"/>
      <c r="AB125" s="143"/>
      <c r="AC125" s="143"/>
      <c r="AD125" s="143"/>
      <c r="AE125" s="143"/>
      <c r="AF125" s="143"/>
      <c r="AG125" s="143"/>
    </row>
    <row r="126" spans="13:33" ht="15.75">
      <c r="M126" s="158"/>
      <c r="N126" s="159"/>
      <c r="O126" s="143"/>
      <c r="P126" s="143"/>
      <c r="Q126" s="143"/>
      <c r="R126" s="143"/>
      <c r="S126" s="143"/>
      <c r="T126" s="143"/>
      <c r="U126" s="143"/>
      <c r="V126" s="143"/>
      <c r="W126" s="143"/>
      <c r="X126" s="143"/>
      <c r="Y126" s="143"/>
      <c r="Z126" s="143"/>
      <c r="AA126" s="143"/>
      <c r="AB126" s="143"/>
      <c r="AC126" s="143"/>
      <c r="AD126" s="143"/>
      <c r="AE126" s="143"/>
      <c r="AF126" s="143"/>
      <c r="AG126" s="143"/>
    </row>
    <row r="127" spans="13:33" ht="15.75">
      <c r="M127" s="158"/>
      <c r="N127" s="159"/>
      <c r="O127" s="143"/>
      <c r="P127" s="143"/>
      <c r="Q127" s="143"/>
      <c r="R127" s="143"/>
      <c r="S127" s="143"/>
      <c r="T127" s="143"/>
      <c r="U127" s="143"/>
      <c r="V127" s="143"/>
      <c r="W127" s="143"/>
      <c r="X127" s="143"/>
      <c r="Y127" s="143"/>
      <c r="Z127" s="143"/>
      <c r="AA127" s="143"/>
      <c r="AB127" s="143"/>
      <c r="AC127" s="143"/>
      <c r="AD127" s="143"/>
      <c r="AE127" s="143"/>
      <c r="AF127" s="143"/>
      <c r="AG127" s="143"/>
    </row>
    <row r="128" spans="13:33" ht="15.75">
      <c r="M128" s="158"/>
      <c r="N128" s="159"/>
      <c r="O128" s="143"/>
      <c r="P128" s="143"/>
      <c r="Q128" s="143"/>
      <c r="R128" s="143"/>
      <c r="S128" s="143"/>
      <c r="T128" s="143"/>
      <c r="U128" s="143"/>
      <c r="V128" s="143"/>
      <c r="W128" s="143"/>
      <c r="X128" s="143"/>
      <c r="Y128" s="143"/>
      <c r="Z128" s="143"/>
      <c r="AA128" s="143"/>
      <c r="AB128" s="143"/>
      <c r="AC128" s="143"/>
      <c r="AD128" s="143"/>
      <c r="AE128" s="143"/>
      <c r="AF128" s="143"/>
      <c r="AG128" s="143"/>
    </row>
    <row r="129" spans="13:33" ht="15.75">
      <c r="M129" s="158"/>
      <c r="N129" s="159"/>
      <c r="O129" s="143"/>
      <c r="P129" s="143"/>
      <c r="Q129" s="143"/>
      <c r="R129" s="143"/>
      <c r="S129" s="143"/>
      <c r="T129" s="143"/>
      <c r="U129" s="143"/>
      <c r="V129" s="143"/>
      <c r="W129" s="143"/>
      <c r="X129" s="143"/>
      <c r="Y129" s="143"/>
      <c r="Z129" s="143"/>
      <c r="AA129" s="143"/>
      <c r="AB129" s="143"/>
      <c r="AC129" s="143"/>
      <c r="AD129" s="143"/>
      <c r="AE129" s="143"/>
      <c r="AF129" s="143"/>
      <c r="AG129" s="143"/>
    </row>
    <row r="130" spans="13:33" ht="15.75">
      <c r="M130" s="158"/>
      <c r="N130" s="159"/>
      <c r="O130" s="143"/>
      <c r="P130" s="143"/>
      <c r="Q130" s="143"/>
      <c r="R130" s="143"/>
      <c r="S130" s="143"/>
      <c r="T130" s="143"/>
      <c r="U130" s="143"/>
      <c r="V130" s="143"/>
      <c r="W130" s="143"/>
      <c r="X130" s="143"/>
      <c r="Y130" s="143"/>
      <c r="Z130" s="143"/>
      <c r="AA130" s="143"/>
      <c r="AB130" s="143"/>
      <c r="AC130" s="143"/>
      <c r="AD130" s="143"/>
      <c r="AE130" s="143"/>
      <c r="AF130" s="143"/>
      <c r="AG130" s="143"/>
    </row>
    <row r="131" spans="13:33" ht="15.75">
      <c r="M131" s="158"/>
      <c r="N131" s="159"/>
      <c r="O131" s="143"/>
      <c r="P131" s="143"/>
      <c r="Q131" s="143"/>
      <c r="R131" s="143"/>
      <c r="S131" s="143"/>
      <c r="T131" s="143"/>
      <c r="U131" s="143"/>
      <c r="V131" s="143"/>
      <c r="W131" s="143"/>
      <c r="X131" s="143"/>
      <c r="Y131" s="143"/>
      <c r="Z131" s="143"/>
      <c r="AA131" s="143"/>
      <c r="AB131" s="143"/>
      <c r="AC131" s="143"/>
      <c r="AD131" s="143"/>
      <c r="AE131" s="143"/>
      <c r="AF131" s="143"/>
      <c r="AG131" s="143"/>
    </row>
    <row r="132" spans="13:33" ht="15.75">
      <c r="M132" s="158"/>
      <c r="N132" s="159"/>
      <c r="O132" s="143"/>
      <c r="P132" s="143"/>
      <c r="Q132" s="143"/>
      <c r="R132" s="143"/>
      <c r="S132" s="143"/>
      <c r="T132" s="143"/>
      <c r="U132" s="143"/>
      <c r="V132" s="143"/>
      <c r="W132" s="143"/>
      <c r="X132" s="143"/>
      <c r="Y132" s="143"/>
      <c r="Z132" s="143"/>
      <c r="AA132" s="143"/>
      <c r="AB132" s="143"/>
      <c r="AC132" s="143"/>
      <c r="AD132" s="143"/>
      <c r="AE132" s="143"/>
      <c r="AF132" s="143"/>
      <c r="AG132" s="143"/>
    </row>
    <row r="133" spans="13:33" ht="15.75">
      <c r="M133" s="158"/>
      <c r="N133" s="159"/>
      <c r="O133" s="143"/>
      <c r="P133" s="143"/>
      <c r="Q133" s="143"/>
      <c r="R133" s="143"/>
      <c r="S133" s="143"/>
      <c r="T133" s="143"/>
      <c r="U133" s="143"/>
      <c r="V133" s="143"/>
      <c r="W133" s="143"/>
      <c r="X133" s="143"/>
      <c r="Y133" s="143"/>
      <c r="Z133" s="143"/>
      <c r="AA133" s="143"/>
      <c r="AB133" s="143"/>
      <c r="AC133" s="143"/>
      <c r="AD133" s="143"/>
      <c r="AE133" s="143"/>
      <c r="AF133" s="143"/>
      <c r="AG133" s="143"/>
    </row>
    <row r="134" spans="13:33" ht="15.75">
      <c r="M134" s="158"/>
      <c r="N134" s="159"/>
      <c r="O134" s="143"/>
      <c r="P134" s="143"/>
      <c r="Q134" s="143"/>
      <c r="R134" s="143"/>
      <c r="S134" s="143"/>
      <c r="T134" s="143"/>
      <c r="U134" s="143"/>
      <c r="V134" s="143"/>
      <c r="W134" s="143"/>
      <c r="X134" s="143"/>
      <c r="Y134" s="143"/>
      <c r="Z134" s="143"/>
      <c r="AA134" s="143"/>
      <c r="AB134" s="143"/>
      <c r="AC134" s="143"/>
      <c r="AD134" s="143"/>
      <c r="AE134" s="143"/>
      <c r="AF134" s="143"/>
      <c r="AG134" s="143"/>
    </row>
    <row r="135" spans="13:33" ht="15.75">
      <c r="M135" s="158"/>
      <c r="N135" s="159"/>
      <c r="O135" s="143"/>
      <c r="P135" s="143"/>
      <c r="Q135" s="143"/>
      <c r="R135" s="143"/>
      <c r="S135" s="143"/>
      <c r="T135" s="143"/>
      <c r="U135" s="143"/>
      <c r="V135" s="143"/>
      <c r="W135" s="143"/>
      <c r="X135" s="143"/>
      <c r="Y135" s="143"/>
      <c r="Z135" s="143"/>
      <c r="AA135" s="143"/>
      <c r="AB135" s="143"/>
      <c r="AC135" s="143"/>
      <c r="AD135" s="143"/>
      <c r="AE135" s="143"/>
      <c r="AF135" s="143"/>
      <c r="AG135" s="143"/>
    </row>
    <row r="136" spans="13:33" ht="15.75">
      <c r="M136" s="158"/>
      <c r="N136" s="159"/>
      <c r="O136" s="143"/>
      <c r="P136" s="143"/>
      <c r="Q136" s="143"/>
      <c r="R136" s="143"/>
      <c r="S136" s="143"/>
      <c r="T136" s="143"/>
      <c r="U136" s="143"/>
      <c r="V136" s="143"/>
      <c r="W136" s="143"/>
      <c r="X136" s="143"/>
      <c r="Y136" s="143"/>
      <c r="Z136" s="143"/>
      <c r="AA136" s="143"/>
      <c r="AB136" s="143"/>
      <c r="AC136" s="143"/>
      <c r="AD136" s="143"/>
      <c r="AE136" s="143"/>
      <c r="AF136" s="143"/>
      <c r="AG136" s="143"/>
    </row>
    <row r="137" spans="13:33" ht="15.75">
      <c r="M137" s="158"/>
      <c r="N137" s="159"/>
      <c r="O137" s="143"/>
      <c r="P137" s="143"/>
      <c r="Q137" s="143"/>
      <c r="R137" s="143"/>
      <c r="S137" s="143"/>
      <c r="T137" s="143"/>
      <c r="U137" s="143"/>
      <c r="V137" s="143"/>
      <c r="W137" s="143"/>
      <c r="X137" s="143"/>
      <c r="Y137" s="143"/>
      <c r="Z137" s="143"/>
      <c r="AA137" s="143"/>
      <c r="AB137" s="143"/>
      <c r="AC137" s="143"/>
      <c r="AD137" s="143"/>
      <c r="AE137" s="143"/>
      <c r="AF137" s="143"/>
      <c r="AG137" s="143"/>
    </row>
    <row r="138" spans="13:33" ht="15.75">
      <c r="M138" s="158"/>
      <c r="N138" s="159"/>
      <c r="O138" s="143"/>
      <c r="P138" s="143"/>
      <c r="Q138" s="143"/>
      <c r="R138" s="143"/>
      <c r="S138" s="143"/>
      <c r="T138" s="143"/>
      <c r="U138" s="143"/>
      <c r="V138" s="143"/>
      <c r="W138" s="143"/>
      <c r="X138" s="143"/>
      <c r="Y138" s="143"/>
      <c r="Z138" s="143"/>
      <c r="AA138" s="143"/>
      <c r="AB138" s="143"/>
      <c r="AC138" s="143"/>
      <c r="AD138" s="143"/>
      <c r="AE138" s="143"/>
      <c r="AF138" s="143"/>
      <c r="AG138" s="143"/>
    </row>
    <row r="139" spans="13:33" ht="15.75">
      <c r="M139" s="158"/>
      <c r="N139" s="159"/>
      <c r="O139" s="143"/>
      <c r="P139" s="143"/>
      <c r="Q139" s="143"/>
      <c r="R139" s="143"/>
      <c r="S139" s="143"/>
      <c r="T139" s="143"/>
      <c r="U139" s="143"/>
      <c r="V139" s="143"/>
      <c r="W139" s="143"/>
      <c r="X139" s="143"/>
      <c r="Y139" s="143"/>
      <c r="Z139" s="143"/>
      <c r="AA139" s="143"/>
      <c r="AB139" s="143"/>
      <c r="AC139" s="143"/>
      <c r="AD139" s="143"/>
      <c r="AE139" s="143"/>
      <c r="AF139" s="143"/>
      <c r="AG139" s="143"/>
    </row>
    <row r="140" spans="13:33" ht="15.75">
      <c r="M140" s="158"/>
      <c r="N140" s="159"/>
      <c r="O140" s="143"/>
      <c r="P140" s="143"/>
      <c r="Q140" s="143"/>
      <c r="R140" s="143"/>
      <c r="S140" s="143"/>
      <c r="T140" s="143"/>
      <c r="U140" s="143"/>
      <c r="V140" s="143"/>
      <c r="W140" s="143"/>
      <c r="X140" s="143"/>
      <c r="Y140" s="143"/>
      <c r="Z140" s="143"/>
      <c r="AA140" s="143"/>
      <c r="AB140" s="143"/>
      <c r="AC140" s="143"/>
      <c r="AD140" s="143"/>
      <c r="AE140" s="143"/>
      <c r="AF140" s="143"/>
      <c r="AG140" s="143"/>
    </row>
    <row r="141" spans="13:33" ht="15.75">
      <c r="M141" s="158"/>
      <c r="N141" s="159"/>
      <c r="O141" s="143"/>
      <c r="P141" s="143"/>
      <c r="Q141" s="143"/>
      <c r="R141" s="143"/>
      <c r="S141" s="143"/>
      <c r="T141" s="143"/>
      <c r="U141" s="143"/>
      <c r="V141" s="143"/>
      <c r="W141" s="143"/>
      <c r="X141" s="143"/>
      <c r="Y141" s="143"/>
      <c r="Z141" s="143"/>
      <c r="AA141" s="143"/>
      <c r="AB141" s="143"/>
      <c r="AC141" s="143"/>
      <c r="AD141" s="143"/>
      <c r="AE141" s="143"/>
      <c r="AF141" s="143"/>
      <c r="AG141" s="143"/>
    </row>
    <row r="142" spans="13:33" ht="15.75">
      <c r="M142" s="158"/>
      <c r="N142" s="159"/>
      <c r="O142" s="143"/>
      <c r="P142" s="143"/>
      <c r="Q142" s="143"/>
      <c r="R142" s="143"/>
      <c r="S142" s="143"/>
      <c r="T142" s="143"/>
      <c r="U142" s="143"/>
      <c r="V142" s="143"/>
      <c r="W142" s="143"/>
      <c r="X142" s="143"/>
      <c r="Y142" s="143"/>
      <c r="Z142" s="143"/>
      <c r="AA142" s="143"/>
      <c r="AB142" s="143"/>
      <c r="AC142" s="143"/>
      <c r="AD142" s="143"/>
      <c r="AE142" s="143"/>
      <c r="AF142" s="143"/>
      <c r="AG142" s="143"/>
    </row>
    <row r="143" spans="13:33" ht="15.75">
      <c r="M143" s="158"/>
      <c r="N143" s="159"/>
      <c r="O143" s="143"/>
      <c r="P143" s="143"/>
      <c r="Q143" s="143"/>
      <c r="R143" s="143"/>
      <c r="S143" s="143"/>
      <c r="T143" s="143"/>
      <c r="U143" s="143"/>
      <c r="V143" s="143"/>
      <c r="W143" s="143"/>
      <c r="X143" s="143"/>
      <c r="Y143" s="143"/>
      <c r="Z143" s="143"/>
      <c r="AA143" s="143"/>
      <c r="AB143" s="143"/>
      <c r="AC143" s="143"/>
      <c r="AD143" s="143"/>
      <c r="AE143" s="143"/>
      <c r="AF143" s="143"/>
      <c r="AG143" s="143"/>
    </row>
    <row r="144" spans="13:33" ht="15.75">
      <c r="M144" s="158"/>
      <c r="N144" s="159"/>
      <c r="O144" s="143"/>
      <c r="P144" s="143"/>
      <c r="Q144" s="143"/>
      <c r="R144" s="143"/>
      <c r="S144" s="143"/>
      <c r="T144" s="143"/>
      <c r="U144" s="143"/>
      <c r="V144" s="143"/>
      <c r="W144" s="143"/>
      <c r="X144" s="143"/>
      <c r="Y144" s="143"/>
      <c r="Z144" s="143"/>
      <c r="AA144" s="143"/>
      <c r="AB144" s="143"/>
      <c r="AC144" s="143"/>
      <c r="AD144" s="143"/>
      <c r="AE144" s="143"/>
      <c r="AF144" s="143"/>
      <c r="AG144" s="143"/>
    </row>
    <row r="145" spans="13:33" ht="15.75">
      <c r="M145" s="158"/>
      <c r="N145" s="159"/>
      <c r="O145" s="143"/>
      <c r="P145" s="143"/>
      <c r="Q145" s="143"/>
      <c r="R145" s="143"/>
      <c r="S145" s="143"/>
      <c r="T145" s="143"/>
      <c r="U145" s="143"/>
      <c r="V145" s="143"/>
      <c r="W145" s="143"/>
      <c r="X145" s="143"/>
      <c r="Y145" s="143"/>
      <c r="Z145" s="143"/>
      <c r="AA145" s="143"/>
      <c r="AB145" s="143"/>
      <c r="AC145" s="143"/>
      <c r="AD145" s="143"/>
      <c r="AE145" s="143"/>
      <c r="AF145" s="143"/>
      <c r="AG145" s="143"/>
    </row>
    <row r="146" spans="13:33" ht="15.75">
      <c r="M146" s="158"/>
      <c r="N146" s="159"/>
      <c r="O146" s="143"/>
      <c r="P146" s="143"/>
      <c r="Q146" s="143"/>
      <c r="R146" s="143"/>
      <c r="S146" s="143"/>
      <c r="T146" s="143"/>
      <c r="U146" s="143"/>
      <c r="V146" s="143"/>
      <c r="W146" s="143"/>
      <c r="X146" s="143"/>
      <c r="Y146" s="143"/>
      <c r="Z146" s="143"/>
      <c r="AA146" s="143"/>
      <c r="AB146" s="143"/>
      <c r="AC146" s="143"/>
      <c r="AD146" s="143"/>
      <c r="AE146" s="143"/>
      <c r="AF146" s="143"/>
      <c r="AG146" s="143"/>
    </row>
    <row r="147" spans="13:33" ht="15.75">
      <c r="M147" s="158"/>
      <c r="N147" s="159"/>
      <c r="O147" s="143"/>
      <c r="P147" s="143"/>
      <c r="Q147" s="143"/>
      <c r="R147" s="143"/>
      <c r="S147" s="143"/>
      <c r="T147" s="143"/>
      <c r="U147" s="143"/>
      <c r="V147" s="143"/>
      <c r="W147" s="143"/>
      <c r="X147" s="143"/>
      <c r="Y147" s="143"/>
      <c r="Z147" s="143"/>
      <c r="AA147" s="143"/>
      <c r="AB147" s="143"/>
      <c r="AC147" s="143"/>
      <c r="AD147" s="143"/>
      <c r="AE147" s="143"/>
      <c r="AF147" s="143"/>
      <c r="AG147" s="143"/>
    </row>
    <row r="148" spans="13:33" ht="15.75">
      <c r="M148" s="158"/>
      <c r="N148" s="159"/>
      <c r="O148" s="143"/>
      <c r="P148" s="143"/>
      <c r="Q148" s="143"/>
      <c r="R148" s="143"/>
      <c r="S148" s="143"/>
      <c r="T148" s="143"/>
      <c r="U148" s="143"/>
      <c r="V148" s="143"/>
      <c r="W148" s="143"/>
      <c r="X148" s="143"/>
      <c r="Y148" s="143"/>
      <c r="Z148" s="143"/>
      <c r="AA148" s="143"/>
      <c r="AB148" s="143"/>
      <c r="AC148" s="143"/>
      <c r="AD148" s="143"/>
      <c r="AE148" s="143"/>
      <c r="AF148" s="143"/>
      <c r="AG148" s="143"/>
    </row>
    <row r="149" spans="13:33" ht="15.75">
      <c r="M149" s="158"/>
      <c r="N149" s="159"/>
      <c r="O149" s="143"/>
      <c r="P149" s="143"/>
      <c r="Q149" s="143"/>
      <c r="R149" s="143"/>
      <c r="S149" s="143"/>
      <c r="T149" s="143"/>
      <c r="U149" s="143"/>
      <c r="V149" s="143"/>
      <c r="W149" s="143"/>
      <c r="X149" s="143"/>
      <c r="Y149" s="143"/>
      <c r="Z149" s="143"/>
      <c r="AA149" s="143"/>
      <c r="AB149" s="143"/>
      <c r="AC149" s="143"/>
      <c r="AD149" s="143"/>
      <c r="AE149" s="143"/>
      <c r="AF149" s="143"/>
      <c r="AG149" s="143"/>
    </row>
    <row r="150" spans="13:33" ht="15.75">
      <c r="M150" s="158"/>
      <c r="N150" s="159"/>
      <c r="O150" s="143"/>
      <c r="P150" s="143"/>
      <c r="Q150" s="143"/>
      <c r="R150" s="143"/>
      <c r="S150" s="143"/>
      <c r="T150" s="143"/>
      <c r="U150" s="143"/>
      <c r="V150" s="143"/>
      <c r="W150" s="143"/>
      <c r="X150" s="143"/>
      <c r="Y150" s="143"/>
      <c r="Z150" s="143"/>
      <c r="AA150" s="143"/>
      <c r="AB150" s="143"/>
      <c r="AC150" s="143"/>
      <c r="AD150" s="143"/>
      <c r="AE150" s="143"/>
      <c r="AF150" s="143"/>
      <c r="AG150" s="143"/>
    </row>
    <row r="151" spans="13:33" ht="15.75">
      <c r="M151" s="158"/>
      <c r="N151" s="159"/>
      <c r="O151" s="143"/>
      <c r="P151" s="143"/>
      <c r="Q151" s="143"/>
      <c r="R151" s="143"/>
      <c r="S151" s="143"/>
      <c r="T151" s="143"/>
      <c r="U151" s="143"/>
      <c r="V151" s="143"/>
      <c r="W151" s="143"/>
      <c r="X151" s="143"/>
      <c r="Y151" s="143"/>
      <c r="Z151" s="143"/>
      <c r="AA151" s="143"/>
      <c r="AB151" s="143"/>
      <c r="AC151" s="143"/>
      <c r="AD151" s="143"/>
      <c r="AE151" s="143"/>
      <c r="AF151" s="143"/>
      <c r="AG151" s="143"/>
    </row>
    <row r="152" spans="13:33" ht="15.75">
      <c r="M152" s="158"/>
      <c r="N152" s="159"/>
      <c r="O152" s="143"/>
      <c r="P152" s="143"/>
      <c r="Q152" s="143"/>
      <c r="R152" s="143"/>
      <c r="S152" s="143"/>
      <c r="T152" s="143"/>
      <c r="U152" s="143"/>
      <c r="V152" s="143"/>
      <c r="W152" s="143"/>
      <c r="X152" s="143"/>
      <c r="Y152" s="143"/>
      <c r="Z152" s="143"/>
      <c r="AA152" s="143"/>
      <c r="AB152" s="143"/>
      <c r="AC152" s="143"/>
      <c r="AD152" s="143"/>
      <c r="AE152" s="143"/>
      <c r="AF152" s="143"/>
      <c r="AG152" s="143"/>
    </row>
    <row r="153" spans="13:33" ht="15.75">
      <c r="M153" s="158"/>
      <c r="N153" s="159"/>
      <c r="O153" s="143"/>
      <c r="P153" s="143"/>
      <c r="Q153" s="143"/>
      <c r="R153" s="143"/>
      <c r="S153" s="143"/>
      <c r="T153" s="143"/>
      <c r="U153" s="143"/>
      <c r="V153" s="143"/>
      <c r="W153" s="143"/>
      <c r="X153" s="143"/>
      <c r="Y153" s="143"/>
      <c r="Z153" s="143"/>
      <c r="AA153" s="143"/>
      <c r="AB153" s="143"/>
      <c r="AC153" s="143"/>
      <c r="AD153" s="143"/>
      <c r="AE153" s="143"/>
      <c r="AF153" s="143"/>
      <c r="AG153" s="143"/>
    </row>
    <row r="154" spans="13:33" ht="15.75">
      <c r="M154" s="158"/>
      <c r="N154" s="159"/>
      <c r="O154" s="143"/>
      <c r="P154" s="143"/>
      <c r="Q154" s="143"/>
      <c r="R154" s="143"/>
      <c r="S154" s="143"/>
      <c r="T154" s="143"/>
      <c r="U154" s="143"/>
      <c r="V154" s="143"/>
      <c r="W154" s="143"/>
      <c r="X154" s="143"/>
      <c r="Y154" s="143"/>
      <c r="Z154" s="143"/>
      <c r="AA154" s="143"/>
      <c r="AB154" s="143"/>
      <c r="AC154" s="143"/>
      <c r="AD154" s="143"/>
      <c r="AE154" s="143"/>
      <c r="AF154" s="143"/>
      <c r="AG154" s="143"/>
    </row>
    <row r="155" spans="13:33" ht="15.75">
      <c r="M155" s="158"/>
      <c r="N155" s="159"/>
      <c r="O155" s="143"/>
      <c r="P155" s="143"/>
      <c r="Q155" s="143"/>
      <c r="R155" s="143"/>
      <c r="S155" s="143"/>
      <c r="T155" s="143"/>
      <c r="U155" s="143"/>
      <c r="V155" s="143"/>
      <c r="W155" s="143"/>
      <c r="X155" s="143"/>
      <c r="Y155" s="143"/>
      <c r="Z155" s="143"/>
      <c r="AA155" s="143"/>
      <c r="AB155" s="143"/>
      <c r="AC155" s="143"/>
      <c r="AD155" s="143"/>
      <c r="AE155" s="143"/>
      <c r="AF155" s="143"/>
      <c r="AG155" s="143"/>
    </row>
    <row r="156" spans="13:33" ht="15.75">
      <c r="M156" s="158"/>
      <c r="N156" s="159"/>
      <c r="O156" s="143"/>
      <c r="P156" s="143"/>
      <c r="Q156" s="143"/>
      <c r="R156" s="143"/>
      <c r="S156" s="143"/>
      <c r="T156" s="143"/>
      <c r="U156" s="143"/>
      <c r="V156" s="143"/>
      <c r="W156" s="143"/>
      <c r="X156" s="143"/>
      <c r="Y156" s="143"/>
      <c r="Z156" s="143"/>
      <c r="AA156" s="143"/>
      <c r="AB156" s="143"/>
      <c r="AC156" s="143"/>
      <c r="AD156" s="143"/>
      <c r="AE156" s="143"/>
      <c r="AF156" s="143"/>
      <c r="AG156" s="143"/>
    </row>
    <row r="157" spans="13:33" ht="15.75">
      <c r="M157" s="158"/>
      <c r="N157" s="159"/>
      <c r="O157" s="143"/>
      <c r="P157" s="143"/>
      <c r="Q157" s="143"/>
      <c r="R157" s="143"/>
      <c r="S157" s="143"/>
      <c r="T157" s="143"/>
      <c r="U157" s="143"/>
      <c r="V157" s="143"/>
      <c r="W157" s="143"/>
      <c r="X157" s="143"/>
      <c r="Y157" s="143"/>
      <c r="Z157" s="143"/>
      <c r="AA157" s="143"/>
      <c r="AB157" s="143"/>
      <c r="AC157" s="143"/>
      <c r="AD157" s="143"/>
      <c r="AE157" s="143"/>
      <c r="AF157" s="143"/>
      <c r="AG157" s="143"/>
    </row>
    <row r="158" spans="13:33" ht="15.75">
      <c r="M158" s="158"/>
      <c r="N158" s="159"/>
      <c r="O158" s="143"/>
      <c r="P158" s="143"/>
      <c r="Q158" s="143"/>
      <c r="R158" s="143"/>
      <c r="S158" s="143"/>
      <c r="T158" s="143"/>
      <c r="U158" s="143"/>
      <c r="V158" s="143"/>
      <c r="W158" s="143"/>
      <c r="X158" s="143"/>
      <c r="Y158" s="143"/>
      <c r="Z158" s="143"/>
      <c r="AA158" s="143"/>
      <c r="AB158" s="143"/>
      <c r="AC158" s="143"/>
      <c r="AD158" s="143"/>
      <c r="AE158" s="143"/>
      <c r="AF158" s="143"/>
      <c r="AG158" s="143"/>
    </row>
    <row r="159" spans="13:33" ht="15.75">
      <c r="M159" s="158"/>
      <c r="N159" s="159"/>
      <c r="O159" s="143"/>
      <c r="P159" s="143"/>
      <c r="Q159" s="143"/>
      <c r="R159" s="143"/>
      <c r="S159" s="143"/>
      <c r="T159" s="143"/>
      <c r="U159" s="143"/>
      <c r="V159" s="143"/>
      <c r="W159" s="143"/>
      <c r="X159" s="143"/>
      <c r="Y159" s="143"/>
      <c r="Z159" s="143"/>
      <c r="AA159" s="143"/>
      <c r="AB159" s="143"/>
      <c r="AC159" s="143"/>
      <c r="AD159" s="143"/>
      <c r="AE159" s="143"/>
      <c r="AF159" s="143"/>
      <c r="AG159" s="143"/>
    </row>
    <row r="160" spans="13:33" ht="15.75">
      <c r="M160" s="158"/>
      <c r="N160" s="159"/>
      <c r="O160" s="143"/>
      <c r="P160" s="143"/>
      <c r="Q160" s="143"/>
      <c r="R160" s="143"/>
      <c r="S160" s="143"/>
      <c r="T160" s="143"/>
      <c r="U160" s="143"/>
      <c r="V160" s="143"/>
      <c r="W160" s="143"/>
      <c r="X160" s="143"/>
      <c r="Y160" s="143"/>
      <c r="Z160" s="143"/>
      <c r="AA160" s="143"/>
      <c r="AB160" s="143"/>
      <c r="AC160" s="143"/>
      <c r="AD160" s="143"/>
      <c r="AE160" s="143"/>
      <c r="AF160" s="143"/>
      <c r="AG160" s="143"/>
    </row>
    <row r="161" spans="13:33" ht="15.75">
      <c r="M161" s="158"/>
      <c r="N161" s="159"/>
      <c r="O161" s="143"/>
      <c r="P161" s="143"/>
      <c r="Q161" s="143"/>
      <c r="R161" s="143"/>
      <c r="S161" s="143"/>
      <c r="T161" s="143"/>
      <c r="U161" s="143"/>
      <c r="V161" s="143"/>
      <c r="W161" s="143"/>
      <c r="X161" s="143"/>
      <c r="Y161" s="143"/>
      <c r="Z161" s="143"/>
      <c r="AA161" s="143"/>
      <c r="AB161" s="143"/>
      <c r="AC161" s="143"/>
      <c r="AD161" s="143"/>
      <c r="AE161" s="143"/>
      <c r="AF161" s="143"/>
      <c r="AG161" s="143"/>
    </row>
    <row r="162" spans="13:33" ht="15.75">
      <c r="M162" s="158"/>
      <c r="N162" s="159"/>
      <c r="O162" s="143"/>
      <c r="P162" s="143"/>
      <c r="Q162" s="143"/>
      <c r="R162" s="143"/>
      <c r="S162" s="143"/>
      <c r="T162" s="143"/>
      <c r="U162" s="143"/>
      <c r="V162" s="143"/>
      <c r="W162" s="143"/>
      <c r="X162" s="143"/>
      <c r="Y162" s="143"/>
      <c r="Z162" s="143"/>
      <c r="AA162" s="143"/>
      <c r="AB162" s="143"/>
      <c r="AC162" s="143"/>
      <c r="AD162" s="143"/>
      <c r="AE162" s="143"/>
      <c r="AF162" s="143"/>
      <c r="AG162" s="143"/>
    </row>
    <row r="163" spans="13:33" ht="15.75">
      <c r="M163" s="158"/>
      <c r="N163" s="159"/>
      <c r="O163" s="143"/>
      <c r="P163" s="143"/>
      <c r="Q163" s="143"/>
      <c r="R163" s="143"/>
      <c r="S163" s="143"/>
      <c r="T163" s="143"/>
      <c r="U163" s="143"/>
      <c r="V163" s="143"/>
      <c r="W163" s="143"/>
      <c r="X163" s="143"/>
      <c r="Y163" s="143"/>
      <c r="Z163" s="143"/>
      <c r="AA163" s="143"/>
      <c r="AB163" s="143"/>
      <c r="AC163" s="143"/>
      <c r="AD163" s="143"/>
      <c r="AE163" s="143"/>
      <c r="AF163" s="143"/>
      <c r="AG163" s="143"/>
    </row>
    <row r="164" spans="13:33" ht="15.75">
      <c r="M164" s="158"/>
      <c r="N164" s="159"/>
      <c r="O164" s="143"/>
      <c r="P164" s="143"/>
      <c r="Q164" s="143"/>
      <c r="R164" s="143"/>
      <c r="S164" s="143"/>
      <c r="T164" s="143"/>
      <c r="U164" s="143"/>
      <c r="V164" s="143"/>
      <c r="W164" s="143"/>
      <c r="X164" s="143"/>
      <c r="Y164" s="143"/>
      <c r="Z164" s="143"/>
      <c r="AA164" s="143"/>
      <c r="AB164" s="143"/>
      <c r="AC164" s="143"/>
      <c r="AD164" s="143"/>
      <c r="AE164" s="143"/>
      <c r="AF164" s="143"/>
      <c r="AG164" s="143"/>
    </row>
    <row r="165" spans="13:33" ht="15.75">
      <c r="M165" s="158"/>
      <c r="N165" s="159"/>
      <c r="O165" s="143"/>
      <c r="P165" s="143"/>
      <c r="Q165" s="143"/>
      <c r="R165" s="143"/>
      <c r="S165" s="143"/>
      <c r="T165" s="143"/>
      <c r="U165" s="143"/>
      <c r="V165" s="143"/>
      <c r="W165" s="143"/>
      <c r="X165" s="143"/>
      <c r="Y165" s="143"/>
      <c r="Z165" s="143"/>
      <c r="AA165" s="143"/>
      <c r="AB165" s="143"/>
      <c r="AC165" s="143"/>
      <c r="AD165" s="143"/>
      <c r="AE165" s="143"/>
      <c r="AF165" s="143"/>
      <c r="AG165" s="143"/>
    </row>
    <row r="166" spans="13:33" ht="15.75">
      <c r="M166" s="158"/>
      <c r="N166" s="159"/>
      <c r="O166" s="143"/>
      <c r="P166" s="143"/>
      <c r="Q166" s="143"/>
      <c r="R166" s="143"/>
      <c r="S166" s="143"/>
      <c r="T166" s="143"/>
      <c r="U166" s="143"/>
      <c r="V166" s="143"/>
      <c r="W166" s="143"/>
      <c r="X166" s="143"/>
      <c r="Y166" s="143"/>
      <c r="Z166" s="143"/>
      <c r="AA166" s="143"/>
      <c r="AB166" s="143"/>
      <c r="AC166" s="143"/>
      <c r="AD166" s="143"/>
      <c r="AE166" s="143"/>
      <c r="AF166" s="143"/>
      <c r="AG166" s="143"/>
    </row>
    <row r="167" spans="13:33" ht="15.75">
      <c r="M167" s="158"/>
      <c r="N167" s="159"/>
      <c r="O167" s="143"/>
      <c r="P167" s="143"/>
      <c r="Q167" s="143"/>
      <c r="R167" s="143"/>
      <c r="S167" s="143"/>
      <c r="T167" s="143"/>
      <c r="U167" s="143"/>
      <c r="V167" s="143"/>
      <c r="W167" s="143"/>
      <c r="X167" s="143"/>
      <c r="Y167" s="143"/>
      <c r="Z167" s="143"/>
      <c r="AA167" s="143"/>
      <c r="AB167" s="143"/>
      <c r="AC167" s="143"/>
      <c r="AD167" s="143"/>
      <c r="AE167" s="143"/>
      <c r="AF167" s="143"/>
      <c r="AG167" s="143"/>
    </row>
    <row r="168" spans="13:33" ht="15.75">
      <c r="M168" s="158"/>
      <c r="N168" s="159"/>
      <c r="O168" s="143"/>
      <c r="P168" s="143"/>
      <c r="Q168" s="143"/>
      <c r="R168" s="143"/>
      <c r="S168" s="143"/>
      <c r="T168" s="143"/>
      <c r="U168" s="143"/>
      <c r="V168" s="143"/>
      <c r="W168" s="143"/>
      <c r="X168" s="143"/>
      <c r="Y168" s="143"/>
      <c r="Z168" s="143"/>
      <c r="AA168" s="143"/>
      <c r="AB168" s="143"/>
      <c r="AC168" s="143"/>
      <c r="AD168" s="143"/>
      <c r="AE168" s="143"/>
      <c r="AF168" s="143"/>
      <c r="AG168" s="143"/>
    </row>
    <row r="169" spans="13:33" ht="15.75">
      <c r="M169" s="158"/>
      <c r="N169" s="159"/>
      <c r="O169" s="143"/>
      <c r="P169" s="143"/>
      <c r="Q169" s="143"/>
      <c r="R169" s="143"/>
      <c r="S169" s="143"/>
      <c r="T169" s="143"/>
      <c r="U169" s="143"/>
      <c r="V169" s="143"/>
      <c r="W169" s="143"/>
      <c r="X169" s="143"/>
      <c r="Y169" s="143"/>
      <c r="Z169" s="143"/>
      <c r="AA169" s="143"/>
      <c r="AB169" s="143"/>
      <c r="AC169" s="143"/>
      <c r="AD169" s="143"/>
      <c r="AE169" s="143"/>
      <c r="AF169" s="143"/>
      <c r="AG169" s="143"/>
    </row>
    <row r="170" spans="13:33" ht="15.75">
      <c r="M170" s="158"/>
      <c r="N170" s="159"/>
      <c r="O170" s="143"/>
      <c r="P170" s="143"/>
      <c r="Q170" s="143"/>
      <c r="R170" s="143"/>
      <c r="S170" s="143"/>
      <c r="T170" s="143"/>
      <c r="U170" s="143"/>
      <c r="V170" s="143"/>
      <c r="W170" s="143"/>
      <c r="X170" s="143"/>
      <c r="Y170" s="143"/>
      <c r="Z170" s="143"/>
      <c r="AA170" s="143"/>
      <c r="AB170" s="143"/>
      <c r="AC170" s="143"/>
      <c r="AD170" s="143"/>
      <c r="AE170" s="143"/>
      <c r="AF170" s="143"/>
      <c r="AG170" s="143"/>
    </row>
    <row r="171" spans="13:33" ht="15.75">
      <c r="M171" s="158"/>
      <c r="N171" s="159"/>
      <c r="O171" s="143"/>
      <c r="P171" s="143"/>
      <c r="Q171" s="143"/>
      <c r="R171" s="143"/>
      <c r="S171" s="143"/>
      <c r="T171" s="143"/>
      <c r="U171" s="143"/>
      <c r="V171" s="143"/>
      <c r="W171" s="143"/>
      <c r="X171" s="143"/>
      <c r="Y171" s="143"/>
      <c r="Z171" s="143"/>
      <c r="AA171" s="143"/>
      <c r="AB171" s="143"/>
      <c r="AC171" s="143"/>
      <c r="AD171" s="143"/>
      <c r="AE171" s="143"/>
      <c r="AF171" s="143"/>
      <c r="AG171" s="143"/>
    </row>
    <row r="172" spans="13:33" ht="15.75">
      <c r="M172" s="158"/>
      <c r="N172" s="159"/>
      <c r="O172" s="143"/>
      <c r="P172" s="143"/>
      <c r="Q172" s="143"/>
      <c r="R172" s="143"/>
      <c r="S172" s="143"/>
      <c r="T172" s="143"/>
      <c r="U172" s="143"/>
      <c r="V172" s="143"/>
      <c r="W172" s="143"/>
      <c r="X172" s="143"/>
      <c r="Y172" s="143"/>
      <c r="Z172" s="143"/>
      <c r="AA172" s="143"/>
      <c r="AB172" s="143"/>
      <c r="AC172" s="143"/>
      <c r="AD172" s="143"/>
      <c r="AE172" s="143"/>
      <c r="AF172" s="143"/>
      <c r="AG172" s="143"/>
    </row>
    <row r="173" spans="13:33" ht="15.75">
      <c r="M173" s="158"/>
      <c r="N173" s="159"/>
      <c r="O173" s="143"/>
      <c r="P173" s="143"/>
      <c r="Q173" s="143"/>
      <c r="R173" s="143"/>
      <c r="S173" s="143"/>
      <c r="T173" s="143"/>
      <c r="U173" s="143"/>
      <c r="V173" s="143"/>
      <c r="W173" s="143"/>
      <c r="X173" s="143"/>
      <c r="Y173" s="143"/>
      <c r="Z173" s="143"/>
      <c r="AA173" s="143"/>
      <c r="AB173" s="143"/>
      <c r="AC173" s="143"/>
      <c r="AD173" s="143"/>
      <c r="AE173" s="143"/>
      <c r="AF173" s="143"/>
      <c r="AG173" s="143"/>
    </row>
    <row r="174" spans="13:33" ht="15.75">
      <c r="M174" s="158"/>
      <c r="N174" s="159"/>
      <c r="O174" s="143"/>
      <c r="P174" s="143"/>
      <c r="Q174" s="143"/>
      <c r="R174" s="143"/>
      <c r="S174" s="143"/>
      <c r="T174" s="143"/>
      <c r="U174" s="143"/>
      <c r="V174" s="143"/>
      <c r="W174" s="143"/>
      <c r="X174" s="143"/>
      <c r="Y174" s="143"/>
      <c r="Z174" s="143"/>
      <c r="AA174" s="143"/>
      <c r="AB174" s="143"/>
      <c r="AC174" s="143"/>
      <c r="AD174" s="143"/>
      <c r="AE174" s="143"/>
      <c r="AF174" s="143"/>
      <c r="AG174" s="143"/>
    </row>
    <row r="175" spans="13:33" ht="15.75">
      <c r="M175" s="158"/>
      <c r="N175" s="159"/>
      <c r="O175" s="143"/>
      <c r="P175" s="143"/>
      <c r="Q175" s="143"/>
      <c r="R175" s="143"/>
      <c r="S175" s="143"/>
      <c r="T175" s="143"/>
      <c r="U175" s="143"/>
      <c r="V175" s="143"/>
      <c r="W175" s="143"/>
      <c r="X175" s="143"/>
      <c r="Y175" s="143"/>
      <c r="Z175" s="143"/>
      <c r="AA175" s="143"/>
      <c r="AB175" s="143"/>
      <c r="AC175" s="143"/>
      <c r="AD175" s="143"/>
      <c r="AE175" s="143"/>
      <c r="AF175" s="143"/>
      <c r="AG175" s="143"/>
    </row>
    <row r="176" spans="13:33" ht="15.75">
      <c r="M176" s="158"/>
      <c r="N176" s="159"/>
      <c r="O176" s="143"/>
      <c r="P176" s="143"/>
      <c r="Q176" s="143"/>
      <c r="R176" s="143"/>
      <c r="S176" s="143"/>
      <c r="T176" s="143"/>
      <c r="U176" s="143"/>
      <c r="V176" s="143"/>
      <c r="W176" s="143"/>
      <c r="X176" s="143"/>
      <c r="Y176" s="143"/>
      <c r="Z176" s="143"/>
      <c r="AA176" s="143"/>
      <c r="AB176" s="143"/>
      <c r="AC176" s="143"/>
      <c r="AD176" s="143"/>
      <c r="AE176" s="143"/>
      <c r="AF176" s="143"/>
      <c r="AG176" s="143"/>
    </row>
    <row r="177" spans="13:33" ht="15.75">
      <c r="M177" s="158"/>
      <c r="N177" s="159"/>
      <c r="O177" s="143"/>
      <c r="P177" s="143"/>
      <c r="Q177" s="143"/>
      <c r="R177" s="143"/>
      <c r="S177" s="143"/>
      <c r="T177" s="143"/>
      <c r="U177" s="143"/>
      <c r="V177" s="143"/>
      <c r="W177" s="143"/>
      <c r="X177" s="143"/>
      <c r="Y177" s="143"/>
      <c r="Z177" s="143"/>
      <c r="AA177" s="143"/>
      <c r="AB177" s="143"/>
      <c r="AC177" s="143"/>
      <c r="AD177" s="143"/>
      <c r="AE177" s="143"/>
      <c r="AF177" s="143"/>
      <c r="AG177" s="143"/>
    </row>
    <row r="178" spans="13:33" ht="15.75">
      <c r="M178" s="158"/>
      <c r="N178" s="159"/>
      <c r="O178" s="143"/>
      <c r="P178" s="143"/>
      <c r="Q178" s="143"/>
      <c r="R178" s="143"/>
      <c r="S178" s="143"/>
      <c r="T178" s="143"/>
      <c r="U178" s="143"/>
      <c r="V178" s="143"/>
      <c r="W178" s="143"/>
      <c r="X178" s="143"/>
      <c r="Y178" s="143"/>
      <c r="Z178" s="143"/>
      <c r="AA178" s="143"/>
      <c r="AB178" s="143"/>
      <c r="AC178" s="143"/>
      <c r="AD178" s="143"/>
      <c r="AE178" s="143"/>
      <c r="AF178" s="143"/>
      <c r="AG178" s="143"/>
    </row>
    <row r="179" spans="13:33" ht="15.75">
      <c r="M179" s="158"/>
      <c r="N179" s="159"/>
      <c r="O179" s="143"/>
      <c r="P179" s="143"/>
      <c r="Q179" s="143"/>
      <c r="R179" s="143"/>
      <c r="S179" s="143"/>
      <c r="T179" s="143"/>
      <c r="U179" s="143"/>
      <c r="V179" s="143"/>
      <c r="W179" s="143"/>
      <c r="X179" s="143"/>
      <c r="Y179" s="143"/>
      <c r="Z179" s="143"/>
      <c r="AA179" s="143"/>
      <c r="AB179" s="143"/>
      <c r="AC179" s="143"/>
      <c r="AD179" s="143"/>
      <c r="AE179" s="143"/>
      <c r="AF179" s="143"/>
      <c r="AG179" s="143"/>
    </row>
    <row r="180" spans="13:33" ht="15.75">
      <c r="M180" s="158"/>
      <c r="N180" s="159"/>
      <c r="O180" s="143"/>
      <c r="P180" s="143"/>
      <c r="Q180" s="143"/>
      <c r="R180" s="143"/>
      <c r="S180" s="143"/>
      <c r="T180" s="143"/>
      <c r="U180" s="143"/>
      <c r="V180" s="143"/>
      <c r="W180" s="143"/>
      <c r="X180" s="143"/>
      <c r="Y180" s="143"/>
      <c r="Z180" s="143"/>
      <c r="AA180" s="143"/>
      <c r="AB180" s="143"/>
      <c r="AC180" s="143"/>
      <c r="AD180" s="143"/>
      <c r="AE180" s="143"/>
      <c r="AF180" s="143"/>
      <c r="AG180" s="143"/>
    </row>
    <row r="181" spans="13:33" ht="15.75">
      <c r="M181" s="158"/>
      <c r="N181" s="159"/>
      <c r="O181" s="143"/>
      <c r="P181" s="143"/>
      <c r="Q181" s="143"/>
      <c r="R181" s="143"/>
      <c r="S181" s="143"/>
      <c r="T181" s="143"/>
      <c r="U181" s="143"/>
      <c r="V181" s="143"/>
      <c r="W181" s="143"/>
      <c r="X181" s="143"/>
      <c r="Y181" s="143"/>
      <c r="Z181" s="143"/>
      <c r="AA181" s="143"/>
      <c r="AB181" s="143"/>
      <c r="AC181" s="143"/>
      <c r="AD181" s="143"/>
      <c r="AE181" s="143"/>
      <c r="AF181" s="143"/>
      <c r="AG181" s="143"/>
    </row>
    <row r="182" spans="13:33" ht="15.75">
      <c r="M182" s="158"/>
      <c r="N182" s="159"/>
      <c r="O182" s="143"/>
      <c r="P182" s="143"/>
      <c r="Q182" s="143"/>
      <c r="R182" s="143"/>
      <c r="S182" s="143"/>
      <c r="T182" s="143"/>
      <c r="U182" s="143"/>
      <c r="V182" s="143"/>
      <c r="W182" s="143"/>
      <c r="X182" s="143"/>
      <c r="Y182" s="143"/>
      <c r="Z182" s="143"/>
      <c r="AA182" s="143"/>
      <c r="AB182" s="143"/>
      <c r="AC182" s="143"/>
      <c r="AD182" s="143"/>
      <c r="AE182" s="143"/>
      <c r="AF182" s="143"/>
      <c r="AG182" s="143"/>
    </row>
    <row r="183" spans="13:33" ht="15.75">
      <c r="M183" s="158"/>
      <c r="N183" s="159"/>
      <c r="O183" s="143"/>
      <c r="P183" s="143"/>
      <c r="Q183" s="143"/>
      <c r="R183" s="143"/>
      <c r="S183" s="143"/>
      <c r="T183" s="143"/>
      <c r="U183" s="143"/>
      <c r="V183" s="143"/>
      <c r="W183" s="143"/>
      <c r="X183" s="143"/>
      <c r="Y183" s="143"/>
      <c r="Z183" s="143"/>
      <c r="AA183" s="143"/>
      <c r="AB183" s="143"/>
      <c r="AC183" s="143"/>
      <c r="AD183" s="143"/>
      <c r="AE183" s="143"/>
      <c r="AF183" s="143"/>
      <c r="AG183" s="143"/>
    </row>
    <row r="184" spans="13:33" ht="15.75">
      <c r="M184" s="158"/>
      <c r="N184" s="159"/>
      <c r="O184" s="143"/>
      <c r="P184" s="143"/>
      <c r="Q184" s="143"/>
      <c r="R184" s="143"/>
      <c r="S184" s="143"/>
      <c r="T184" s="143"/>
      <c r="U184" s="143"/>
      <c r="V184" s="143"/>
      <c r="W184" s="143"/>
      <c r="X184" s="143"/>
      <c r="Y184" s="143"/>
      <c r="Z184" s="143"/>
      <c r="AA184" s="143"/>
      <c r="AB184" s="143"/>
      <c r="AC184" s="143"/>
      <c r="AD184" s="143"/>
      <c r="AE184" s="143"/>
      <c r="AF184" s="143"/>
      <c r="AG184" s="143"/>
    </row>
    <row r="185" spans="13:33" ht="15.75">
      <c r="M185" s="158"/>
      <c r="N185" s="159"/>
      <c r="O185" s="143"/>
      <c r="P185" s="143"/>
      <c r="Q185" s="143"/>
      <c r="R185" s="143"/>
      <c r="S185" s="143"/>
      <c r="T185" s="143"/>
      <c r="U185" s="143"/>
      <c r="V185" s="143"/>
      <c r="W185" s="143"/>
      <c r="X185" s="143"/>
      <c r="Y185" s="143"/>
      <c r="Z185" s="143"/>
      <c r="AA185" s="143"/>
      <c r="AB185" s="143"/>
      <c r="AC185" s="143"/>
      <c r="AD185" s="143"/>
      <c r="AE185" s="143"/>
      <c r="AF185" s="143"/>
      <c r="AG185" s="143"/>
    </row>
    <row r="186" spans="13:33" ht="15.75">
      <c r="M186" s="158"/>
      <c r="N186" s="159"/>
      <c r="O186" s="143"/>
      <c r="P186" s="143"/>
      <c r="Q186" s="143"/>
      <c r="R186" s="143"/>
      <c r="S186" s="143"/>
      <c r="T186" s="143"/>
      <c r="U186" s="143"/>
      <c r="V186" s="143"/>
      <c r="W186" s="143"/>
      <c r="X186" s="143"/>
      <c r="Y186" s="143"/>
      <c r="Z186" s="143"/>
      <c r="AA186" s="143"/>
      <c r="AB186" s="143"/>
      <c r="AC186" s="143"/>
      <c r="AD186" s="143"/>
      <c r="AE186" s="143"/>
      <c r="AF186" s="143"/>
      <c r="AG186" s="143"/>
    </row>
    <row r="187" spans="13:33" ht="15.75">
      <c r="M187" s="158"/>
      <c r="N187" s="159"/>
      <c r="O187" s="143"/>
      <c r="P187" s="143"/>
      <c r="Q187" s="143"/>
      <c r="R187" s="143"/>
      <c r="S187" s="143"/>
      <c r="T187" s="143"/>
      <c r="U187" s="143"/>
      <c r="V187" s="143"/>
      <c r="W187" s="143"/>
      <c r="X187" s="143"/>
      <c r="Y187" s="143"/>
      <c r="Z187" s="143"/>
      <c r="AA187" s="143"/>
      <c r="AB187" s="143"/>
      <c r="AC187" s="143"/>
      <c r="AD187" s="143"/>
      <c r="AE187" s="143"/>
      <c r="AF187" s="143"/>
      <c r="AG187" s="143"/>
    </row>
  </sheetData>
  <mergeCells count="21">
    <mergeCell ref="A4:J5"/>
    <mergeCell ref="E8:E11"/>
    <mergeCell ref="F9:F11"/>
    <mergeCell ref="G9:G11"/>
    <mergeCell ref="C8:C9"/>
    <mergeCell ref="D8:D9"/>
    <mergeCell ref="L7:L11"/>
    <mergeCell ref="A7:A11"/>
    <mergeCell ref="H10:H11"/>
    <mergeCell ref="I10:I11"/>
    <mergeCell ref="B7:J7"/>
    <mergeCell ref="F8:J8"/>
    <mergeCell ref="H9:I9"/>
    <mergeCell ref="J9:J11"/>
    <mergeCell ref="K7:K11"/>
    <mergeCell ref="B8:B11"/>
    <mergeCell ref="N7:N11"/>
    <mergeCell ref="M1:N1"/>
    <mergeCell ref="M2:N2"/>
    <mergeCell ref="M3:N3"/>
    <mergeCell ref="M8:M10"/>
  </mergeCells>
  <printOptions/>
  <pageMargins left="0.12" right="0.04" top="0.2" bottom="0.08" header="0.08" footer="0.15"/>
  <pageSetup horizontalDpi="600" verticalDpi="600" orientation="landscape" paperSize="9" scale="49" r:id="rId1"/>
</worksheet>
</file>

<file path=xl/worksheets/sheet5.xml><?xml version="1.0" encoding="utf-8"?>
<worksheet xmlns="http://schemas.openxmlformats.org/spreadsheetml/2006/main" xmlns:r="http://schemas.openxmlformats.org/officeDocument/2006/relationships">
  <dimension ref="A1:E22"/>
  <sheetViews>
    <sheetView view="pageBreakPreview" zoomScale="75" zoomScaleSheetLayoutView="75" workbookViewId="0" topLeftCell="A1">
      <selection activeCell="E11" sqref="E11"/>
    </sheetView>
  </sheetViews>
  <sheetFormatPr defaultColWidth="9.00390625" defaultRowHeight="12.75"/>
  <cols>
    <col min="1" max="1" width="32.25390625" style="206" customWidth="1"/>
    <col min="2" max="2" width="12.875" style="206" customWidth="1"/>
    <col min="3" max="3" width="21.375" style="206" customWidth="1"/>
    <col min="4" max="16384" width="8.875" style="206" customWidth="1"/>
  </cols>
  <sheetData>
    <row r="1" spans="3:4" ht="13.5" customHeight="1">
      <c r="C1" s="354" t="s">
        <v>122</v>
      </c>
      <c r="D1" s="354"/>
    </row>
    <row r="2" spans="3:4" ht="12.75">
      <c r="C2" s="391" t="s">
        <v>118</v>
      </c>
      <c r="D2" s="391"/>
    </row>
    <row r="3" spans="3:4" ht="12.75">
      <c r="C3" s="354" t="s">
        <v>119</v>
      </c>
      <c r="D3" s="354"/>
    </row>
    <row r="4" spans="2:3" ht="12.75">
      <c r="B4" s="5"/>
      <c r="C4" s="5"/>
    </row>
    <row r="5" spans="2:3" ht="12.75">
      <c r="B5" s="5"/>
      <c r="C5" s="5"/>
    </row>
    <row r="6" ht="12.75">
      <c r="C6" s="5"/>
    </row>
    <row r="7" spans="1:5" ht="33.75" customHeight="1">
      <c r="A7" s="387" t="s">
        <v>123</v>
      </c>
      <c r="B7" s="387"/>
      <c r="C7" s="387"/>
      <c r="D7" s="207"/>
      <c r="E7" s="207"/>
    </row>
    <row r="8" ht="13.5" thickBot="1">
      <c r="C8" s="208" t="s">
        <v>380</v>
      </c>
    </row>
    <row r="9" spans="1:5" ht="26.25" thickBot="1">
      <c r="A9" s="209" t="s">
        <v>67</v>
      </c>
      <c r="B9" s="210" t="s">
        <v>124</v>
      </c>
      <c r="C9" s="210" t="s">
        <v>125</v>
      </c>
      <c r="D9" s="388"/>
      <c r="E9" s="388"/>
    </row>
    <row r="10" spans="1:3" ht="26.25" thickBot="1">
      <c r="A10" s="211" t="s">
        <v>126</v>
      </c>
      <c r="B10" s="212">
        <v>1000</v>
      </c>
      <c r="C10" s="213" t="s">
        <v>127</v>
      </c>
    </row>
    <row r="11" spans="1:3" ht="12.75" hidden="1">
      <c r="A11" s="214" t="s">
        <v>128</v>
      </c>
      <c r="B11" s="215"/>
      <c r="C11" s="216"/>
    </row>
    <row r="12" spans="1:3" ht="12.75" hidden="1">
      <c r="A12" s="214" t="s">
        <v>129</v>
      </c>
      <c r="B12" s="217"/>
      <c r="C12" s="216"/>
    </row>
    <row r="13" spans="1:3" ht="12.75" hidden="1">
      <c r="A13" s="218" t="s">
        <v>130</v>
      </c>
      <c r="B13" s="219"/>
      <c r="C13" s="216"/>
    </row>
    <row r="14" spans="1:3" ht="12.75" hidden="1">
      <c r="A14" s="218" t="s">
        <v>131</v>
      </c>
      <c r="B14" s="219"/>
      <c r="C14" s="216"/>
    </row>
    <row r="15" spans="1:3" ht="10.5" customHeight="1" thickBot="1">
      <c r="A15" s="218" t="s">
        <v>132</v>
      </c>
      <c r="B15" s="219"/>
      <c r="C15" s="216"/>
    </row>
    <row r="16" spans="1:3" ht="12.75" hidden="1">
      <c r="A16" s="220" t="s">
        <v>133</v>
      </c>
      <c r="B16" s="221"/>
      <c r="C16" s="216"/>
    </row>
    <row r="17" spans="1:3" ht="12.75" hidden="1">
      <c r="A17" s="220" t="s">
        <v>134</v>
      </c>
      <c r="B17" s="222"/>
      <c r="C17" s="216"/>
    </row>
    <row r="18" spans="1:3" ht="15" customHeight="1" hidden="1">
      <c r="A18" s="223" t="s">
        <v>135</v>
      </c>
      <c r="B18" s="233"/>
      <c r="C18" s="216"/>
    </row>
    <row r="19" spans="1:3" ht="26.25" customHeight="1" thickBot="1">
      <c r="A19" s="389" t="s">
        <v>136</v>
      </c>
      <c r="B19" s="235">
        <v>1000</v>
      </c>
      <c r="C19" s="213" t="s">
        <v>127</v>
      </c>
    </row>
    <row r="20" spans="1:3" ht="40.5" customHeight="1" thickBot="1">
      <c r="A20" s="390"/>
      <c r="B20" s="234">
        <v>200</v>
      </c>
      <c r="C20" s="224" t="s">
        <v>147</v>
      </c>
    </row>
    <row r="21" spans="1:3" ht="15" customHeight="1" hidden="1">
      <c r="A21" s="225" t="s">
        <v>137</v>
      </c>
      <c r="B21" s="226"/>
      <c r="C21" s="227"/>
    </row>
    <row r="22" spans="1:3" ht="20.25" customHeight="1" thickBot="1">
      <c r="A22" s="228" t="s">
        <v>138</v>
      </c>
      <c r="B22" s="229">
        <f>SUM(B10:B21)</f>
        <v>2200</v>
      </c>
      <c r="C22" s="230"/>
    </row>
  </sheetData>
  <mergeCells count="6">
    <mergeCell ref="A7:C7"/>
    <mergeCell ref="D9:E9"/>
    <mergeCell ref="A19:A20"/>
    <mergeCell ref="C1:D1"/>
    <mergeCell ref="C2:D2"/>
    <mergeCell ref="C3:D3"/>
  </mergeCells>
  <printOptions/>
  <pageMargins left="1.23"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2"/>
  <sheetViews>
    <sheetView view="pageBreakPreview" zoomScale="76" zoomScaleNormal="75" zoomScaleSheetLayoutView="76" workbookViewId="0" topLeftCell="A1">
      <selection activeCell="H60" sqref="H60"/>
    </sheetView>
  </sheetViews>
  <sheetFormatPr defaultColWidth="9.00390625" defaultRowHeight="12.75"/>
  <cols>
    <col min="2" max="2" width="36.375" style="0" customWidth="1"/>
    <col min="3" max="3" width="11.125" style="0" customWidth="1"/>
    <col min="4" max="4" width="10.625" style="0" customWidth="1"/>
    <col min="5" max="5" width="12.625" style="0" customWidth="1"/>
  </cols>
  <sheetData>
    <row r="1" spans="1:5" ht="12.75">
      <c r="A1" s="206"/>
      <c r="B1" s="206"/>
      <c r="C1" s="393" t="s">
        <v>176</v>
      </c>
      <c r="D1" s="393"/>
      <c r="E1" s="393"/>
    </row>
    <row r="2" spans="1:5" ht="12.75">
      <c r="A2" s="206"/>
      <c r="B2" s="206"/>
      <c r="C2" s="393" t="s">
        <v>194</v>
      </c>
      <c r="D2" s="393"/>
      <c r="E2" s="393"/>
    </row>
    <row r="3" spans="1:5" ht="12.75">
      <c r="A3" s="206"/>
      <c r="B3" s="206"/>
      <c r="C3" s="393" t="s">
        <v>114</v>
      </c>
      <c r="D3" s="393"/>
      <c r="E3" s="393"/>
    </row>
    <row r="4" spans="1:5" ht="12.75">
      <c r="A4" s="206"/>
      <c r="B4" s="206"/>
      <c r="C4" s="393"/>
      <c r="D4" s="393"/>
      <c r="E4" s="393"/>
    </row>
    <row r="5" spans="1:5" ht="12.75">
      <c r="A5" s="392" t="s">
        <v>179</v>
      </c>
      <c r="B5" s="392"/>
      <c r="C5" s="392"/>
      <c r="D5" s="392"/>
      <c r="E5" s="392"/>
    </row>
    <row r="6" spans="1:5" ht="12.75">
      <c r="A6" s="206"/>
      <c r="B6" s="206"/>
      <c r="C6" s="206"/>
      <c r="D6" s="206"/>
      <c r="E6" s="206"/>
    </row>
    <row r="7" spans="1:5" ht="13.5" thickBot="1">
      <c r="A7" s="206"/>
      <c r="B7" s="206"/>
      <c r="C7" s="206"/>
      <c r="D7" s="206"/>
      <c r="E7" s="208" t="s">
        <v>380</v>
      </c>
    </row>
    <row r="8" spans="1:5" ht="26.25" thickBot="1">
      <c r="A8" s="247" t="s">
        <v>340</v>
      </c>
      <c r="B8" s="247" t="s">
        <v>145</v>
      </c>
      <c r="C8" s="247" t="s">
        <v>201</v>
      </c>
      <c r="D8" s="247" t="s">
        <v>342</v>
      </c>
      <c r="E8" s="247" t="s">
        <v>146</v>
      </c>
    </row>
    <row r="9" spans="1:5" ht="13.5" thickBot="1">
      <c r="A9" s="247">
        <v>1</v>
      </c>
      <c r="B9" s="247">
        <v>2</v>
      </c>
      <c r="C9" s="247">
        <v>3</v>
      </c>
      <c r="D9" s="247">
        <v>4</v>
      </c>
      <c r="E9" s="247">
        <v>5</v>
      </c>
    </row>
    <row r="10" spans="1:5" ht="13.5" thickBot="1">
      <c r="A10" s="247">
        <v>200000</v>
      </c>
      <c r="B10" s="213" t="s">
        <v>173</v>
      </c>
      <c r="C10" s="248">
        <f>D10+E10</f>
        <v>60655.1</v>
      </c>
      <c r="D10" s="249">
        <f>D11</f>
        <v>60655.1</v>
      </c>
      <c r="E10" s="250">
        <f>E12</f>
        <v>0</v>
      </c>
    </row>
    <row r="11" spans="1:5" ht="26.25" thickBot="1">
      <c r="A11" s="251"/>
      <c r="B11" s="252" t="s">
        <v>174</v>
      </c>
      <c r="C11" s="248">
        <f>D11+E11</f>
        <v>60655.1</v>
      </c>
      <c r="D11" s="249">
        <f>D12</f>
        <v>60655.1</v>
      </c>
      <c r="E11" s="253">
        <f>E12</f>
        <v>0</v>
      </c>
    </row>
    <row r="12" spans="1:5" ht="13.5" thickBot="1">
      <c r="A12" s="251"/>
      <c r="B12" s="252" t="s">
        <v>175</v>
      </c>
      <c r="C12" s="248">
        <f>D12</f>
        <v>60655.1</v>
      </c>
      <c r="D12" s="249">
        <v>60655.1</v>
      </c>
      <c r="E12" s="254">
        <v>0</v>
      </c>
    </row>
    <row r="13" ht="12.75">
      <c r="B13" s="236"/>
    </row>
    <row r="14" spans="2:4" ht="12.75">
      <c r="B14" s="236"/>
      <c r="D14">
        <f>'[1]№6'!$D$12</f>
        <v>60655.10000000009</v>
      </c>
    </row>
    <row r="15" ht="10.5" customHeight="1">
      <c r="B15" s="236"/>
    </row>
    <row r="16" spans="2:4" ht="12.75">
      <c r="B16" s="236"/>
      <c r="D16" s="255">
        <f>D14-D12</f>
        <v>9.458744898438454E-11</v>
      </c>
    </row>
    <row r="17" ht="12.75">
      <c r="B17" s="236"/>
    </row>
    <row r="18" ht="12.75">
      <c r="B18" s="236"/>
    </row>
    <row r="19" ht="12.75">
      <c r="B19" s="236"/>
    </row>
    <row r="20" ht="11.25" customHeight="1">
      <c r="B20" s="236"/>
    </row>
    <row r="21" ht="12.75">
      <c r="B21" s="236"/>
    </row>
    <row r="22" ht="12.75">
      <c r="B22" s="236"/>
    </row>
    <row r="23" ht="12.75">
      <c r="B23" s="236"/>
    </row>
    <row r="24" ht="12.75">
      <c r="B24" s="236"/>
    </row>
    <row r="25" ht="12.75">
      <c r="B25" s="236"/>
    </row>
    <row r="26" ht="12.75">
      <c r="B26" s="236"/>
    </row>
    <row r="27" ht="12.75">
      <c r="B27" s="236"/>
    </row>
    <row r="28" ht="12.75">
      <c r="B28" s="236"/>
    </row>
    <row r="29" ht="12.75">
      <c r="B29" s="236"/>
    </row>
    <row r="30" ht="12.75">
      <c r="B30" s="236"/>
    </row>
    <row r="31" ht="12.75">
      <c r="B31" s="236"/>
    </row>
    <row r="32" ht="12.75">
      <c r="B32" s="236"/>
    </row>
  </sheetData>
  <mergeCells count="5">
    <mergeCell ref="A5:E5"/>
    <mergeCell ref="C1:E1"/>
    <mergeCell ref="C2:E2"/>
    <mergeCell ref="C3:E3"/>
    <mergeCell ref="C4:E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V95"/>
  <sheetViews>
    <sheetView view="pageBreakPreview" zoomScale="80" zoomScaleNormal="90" zoomScaleSheetLayoutView="80" workbookViewId="0" topLeftCell="A8">
      <pane xSplit="3" ySplit="5" topLeftCell="D13" activePane="bottomRight" state="frozen"/>
      <selection pane="topLeft" activeCell="H60" sqref="H60"/>
      <selection pane="topRight" activeCell="H60" sqref="H60"/>
      <selection pane="bottomLeft" activeCell="H60" sqref="H60"/>
      <selection pane="bottomRight" activeCell="H60" sqref="H60"/>
    </sheetView>
  </sheetViews>
  <sheetFormatPr defaultColWidth="9.00390625" defaultRowHeight="12.75"/>
  <cols>
    <col min="1" max="1" width="3.25390625" style="105" customWidth="1"/>
    <col min="2" max="2" width="14.75390625" style="105" customWidth="1"/>
    <col min="3" max="4" width="14.875" style="105" customWidth="1"/>
    <col min="5" max="5" width="13.00390625" style="105" customWidth="1"/>
    <col min="6" max="6" width="20.00390625" style="105" customWidth="1"/>
    <col min="7" max="7" width="13.00390625" style="105" customWidth="1"/>
    <col min="8" max="8" width="14.00390625" style="105" customWidth="1"/>
    <col min="9" max="9" width="12.125" style="271" customWidth="1"/>
    <col min="10" max="10" width="10.75390625" style="257" customWidth="1"/>
    <col min="11" max="11" width="13.75390625" style="258" customWidth="1"/>
    <col min="12" max="12" width="12.375" style="258" customWidth="1"/>
    <col min="13" max="13" width="12.25390625" style="274" customWidth="1"/>
    <col min="14" max="14" width="11.375" style="0" customWidth="1"/>
    <col min="15" max="15" width="10.625" style="0" customWidth="1"/>
    <col min="16" max="16" width="11.125" style="0" customWidth="1"/>
    <col min="17" max="17" width="12.625" style="0" customWidth="1"/>
    <col min="18" max="18" width="12.375" style="276" customWidth="1"/>
    <col min="19" max="19" width="16.625" style="0" customWidth="1"/>
    <col min="20" max="20" width="13.875" style="0" customWidth="1"/>
    <col min="21" max="21" width="18.75390625" style="0" customWidth="1"/>
    <col min="22" max="22" width="12.75390625" style="242" customWidth="1"/>
  </cols>
  <sheetData>
    <row r="1" spans="12:25" ht="12.75">
      <c r="L1" s="371"/>
      <c r="M1" s="371"/>
      <c r="N1" s="371"/>
      <c r="T1" s="371" t="s">
        <v>171</v>
      </c>
      <c r="U1" s="371"/>
      <c r="V1" s="371"/>
      <c r="W1" s="371"/>
      <c r="X1" s="371"/>
      <c r="Y1" s="371"/>
    </row>
    <row r="2" spans="12:25" ht="12.75">
      <c r="L2" s="413"/>
      <c r="M2" s="413"/>
      <c r="N2" s="246"/>
      <c r="T2" s="5" t="s">
        <v>194</v>
      </c>
      <c r="U2" s="354" t="s">
        <v>194</v>
      </c>
      <c r="V2" s="354"/>
      <c r="W2" s="354"/>
      <c r="X2" s="246"/>
      <c r="Y2" s="246"/>
    </row>
    <row r="3" spans="12:25" ht="12.75">
      <c r="L3" s="320"/>
      <c r="M3" s="320"/>
      <c r="N3" s="320"/>
      <c r="T3" s="320" t="s">
        <v>114</v>
      </c>
      <c r="U3" s="320"/>
      <c r="V3" s="320"/>
      <c r="W3" s="320"/>
      <c r="X3" s="320"/>
      <c r="Y3" s="320"/>
    </row>
    <row r="6" spans="1:22" ht="24.75" customHeight="1">
      <c r="A6" s="414" t="s">
        <v>108</v>
      </c>
      <c r="B6" s="414"/>
      <c r="C6" s="414"/>
      <c r="D6" s="414"/>
      <c r="E6" s="414"/>
      <c r="F6" s="414"/>
      <c r="G6" s="414"/>
      <c r="H6" s="414"/>
      <c r="I6" s="414"/>
      <c r="J6" s="414"/>
      <c r="K6" s="414"/>
      <c r="L6" s="414"/>
      <c r="M6" s="414"/>
      <c r="N6" s="414"/>
      <c r="O6" s="414"/>
      <c r="P6" s="414"/>
      <c r="Q6" s="414"/>
      <c r="R6" s="414"/>
      <c r="S6" s="414"/>
      <c r="T6" s="414"/>
      <c r="U6" s="414"/>
      <c r="V6" s="414"/>
    </row>
    <row r="7" spans="11:12" ht="6.75" customHeight="1">
      <c r="K7" s="259"/>
      <c r="L7" s="259"/>
    </row>
    <row r="8" spans="1:22" ht="18" customHeight="1">
      <c r="A8" s="397" t="s">
        <v>172</v>
      </c>
      <c r="B8" s="400" t="s">
        <v>81</v>
      </c>
      <c r="C8" s="401"/>
      <c r="D8" s="402" t="s">
        <v>83</v>
      </c>
      <c r="E8" s="402"/>
      <c r="F8" s="402"/>
      <c r="G8" s="402"/>
      <c r="H8" s="402"/>
      <c r="I8" s="402"/>
      <c r="J8" s="402"/>
      <c r="K8" s="402"/>
      <c r="L8" s="402"/>
      <c r="M8" s="402"/>
      <c r="N8" s="402"/>
      <c r="O8" s="402"/>
      <c r="P8" s="402"/>
      <c r="Q8" s="402"/>
      <c r="R8" s="402"/>
      <c r="S8" s="402"/>
      <c r="T8" s="402"/>
      <c r="U8" s="267" t="s">
        <v>82</v>
      </c>
      <c r="V8" s="396" t="s">
        <v>70</v>
      </c>
    </row>
    <row r="9" spans="1:23" ht="12.75" customHeight="1">
      <c r="A9" s="398"/>
      <c r="B9" s="394" t="s">
        <v>168</v>
      </c>
      <c r="C9" s="394"/>
      <c r="D9" s="411" t="s">
        <v>218</v>
      </c>
      <c r="E9" s="411"/>
      <c r="F9" s="411"/>
      <c r="G9" s="411"/>
      <c r="H9" s="411"/>
      <c r="I9" s="411"/>
      <c r="J9" s="422" t="s">
        <v>220</v>
      </c>
      <c r="K9" s="422"/>
      <c r="L9" s="422"/>
      <c r="M9" s="423"/>
      <c r="N9" s="403" t="s">
        <v>71</v>
      </c>
      <c r="O9" s="403"/>
      <c r="P9" s="403"/>
      <c r="Q9" s="403"/>
      <c r="R9" s="403"/>
      <c r="S9" s="260" t="s">
        <v>72</v>
      </c>
      <c r="T9" s="403" t="s">
        <v>200</v>
      </c>
      <c r="U9" s="260" t="s">
        <v>84</v>
      </c>
      <c r="V9" s="396"/>
      <c r="W9" s="269"/>
    </row>
    <row r="10" spans="1:22" ht="54" customHeight="1">
      <c r="A10" s="398"/>
      <c r="B10" s="418" t="s">
        <v>167</v>
      </c>
      <c r="C10" s="418"/>
      <c r="D10" s="394" t="s">
        <v>268</v>
      </c>
      <c r="E10" s="394"/>
      <c r="F10" s="394"/>
      <c r="G10" s="394"/>
      <c r="H10" s="256" t="s">
        <v>5</v>
      </c>
      <c r="I10" s="412" t="s">
        <v>76</v>
      </c>
      <c r="J10" s="420" t="s">
        <v>270</v>
      </c>
      <c r="K10" s="420"/>
      <c r="L10" s="421"/>
      <c r="M10" s="415" t="s">
        <v>76</v>
      </c>
      <c r="N10" s="404" t="s">
        <v>275</v>
      </c>
      <c r="O10" s="404"/>
      <c r="P10" s="404"/>
      <c r="Q10" s="404"/>
      <c r="R10" s="404"/>
      <c r="S10" s="270" t="s">
        <v>278</v>
      </c>
      <c r="T10" s="403"/>
      <c r="U10" s="268" t="s">
        <v>94</v>
      </c>
      <c r="V10" s="396"/>
    </row>
    <row r="11" spans="1:22" ht="40.5" customHeight="1">
      <c r="A11" s="398"/>
      <c r="B11" s="243"/>
      <c r="C11" s="244" t="s">
        <v>166</v>
      </c>
      <c r="D11" s="394" t="s">
        <v>73</v>
      </c>
      <c r="E11" s="394" t="s">
        <v>74</v>
      </c>
      <c r="F11" s="394" t="s">
        <v>87</v>
      </c>
      <c r="G11" s="394" t="s">
        <v>201</v>
      </c>
      <c r="H11" s="394" t="s">
        <v>75</v>
      </c>
      <c r="I11" s="412"/>
      <c r="J11" s="419" t="s">
        <v>109</v>
      </c>
      <c r="K11" s="405" t="s">
        <v>169</v>
      </c>
      <c r="L11" s="405" t="s">
        <v>170</v>
      </c>
      <c r="M11" s="416"/>
      <c r="N11" s="394" t="s">
        <v>77</v>
      </c>
      <c r="O11" s="405" t="s">
        <v>86</v>
      </c>
      <c r="P11" s="394" t="s">
        <v>78</v>
      </c>
      <c r="Q11" s="394" t="s">
        <v>79</v>
      </c>
      <c r="R11" s="406" t="s">
        <v>76</v>
      </c>
      <c r="S11" s="394" t="s">
        <v>80</v>
      </c>
      <c r="T11" s="403"/>
      <c r="U11" s="395" t="s">
        <v>85</v>
      </c>
      <c r="V11" s="396"/>
    </row>
    <row r="12" spans="1:22" ht="82.5" customHeight="1">
      <c r="A12" s="399"/>
      <c r="B12" s="245" t="s">
        <v>67</v>
      </c>
      <c r="C12" s="241"/>
      <c r="D12" s="394"/>
      <c r="E12" s="394"/>
      <c r="F12" s="394"/>
      <c r="G12" s="394"/>
      <c r="H12" s="394"/>
      <c r="I12" s="412"/>
      <c r="J12" s="419"/>
      <c r="K12" s="405"/>
      <c r="L12" s="405"/>
      <c r="M12" s="417"/>
      <c r="N12" s="394"/>
      <c r="O12" s="405"/>
      <c r="P12" s="394"/>
      <c r="Q12" s="394"/>
      <c r="R12" s="406"/>
      <c r="S12" s="394"/>
      <c r="T12" s="403"/>
      <c r="U12" s="395"/>
      <c r="V12" s="396"/>
    </row>
    <row r="13" spans="1:48" ht="15.75">
      <c r="A13" s="278">
        <v>1</v>
      </c>
      <c r="B13" s="408" t="s">
        <v>300</v>
      </c>
      <c r="C13" s="408"/>
      <c r="D13" s="279">
        <v>25</v>
      </c>
      <c r="E13" s="279">
        <v>120</v>
      </c>
      <c r="F13" s="279">
        <v>30</v>
      </c>
      <c r="G13" s="279">
        <f>D13+E13+F13</f>
        <v>175</v>
      </c>
      <c r="H13" s="279">
        <v>0</v>
      </c>
      <c r="I13" s="280">
        <f>H13+G13</f>
        <v>175</v>
      </c>
      <c r="J13" s="281">
        <v>100</v>
      </c>
      <c r="K13" s="281">
        <v>300</v>
      </c>
      <c r="L13" s="281">
        <v>1950</v>
      </c>
      <c r="M13" s="282">
        <f>J13+K13+L13</f>
        <v>2350</v>
      </c>
      <c r="N13" s="283">
        <v>1237.5</v>
      </c>
      <c r="O13" s="283">
        <v>985</v>
      </c>
      <c r="P13" s="283">
        <v>1777.5</v>
      </c>
      <c r="Q13" s="284">
        <v>0</v>
      </c>
      <c r="R13" s="285">
        <f>N13+O13+P13+Q13</f>
        <v>4000</v>
      </c>
      <c r="S13" s="285">
        <v>0</v>
      </c>
      <c r="T13" s="286">
        <f aca="true" t="shared" si="0" ref="T13:T40">S13+R13+M13+I13</f>
        <v>6525</v>
      </c>
      <c r="U13" s="285">
        <v>250</v>
      </c>
      <c r="V13" s="286">
        <f>U13+T13</f>
        <v>6775</v>
      </c>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row>
    <row r="14" spans="1:48" ht="15.75">
      <c r="A14" s="278">
        <v>2</v>
      </c>
      <c r="B14" s="407" t="s">
        <v>292</v>
      </c>
      <c r="C14" s="407"/>
      <c r="D14" s="279">
        <v>0</v>
      </c>
      <c r="E14" s="279">
        <v>4.6</v>
      </c>
      <c r="F14" s="279">
        <v>2.4</v>
      </c>
      <c r="G14" s="279">
        <f aca="true" t="shared" si="1" ref="G14:G58">D14+E14+F14</f>
        <v>7</v>
      </c>
      <c r="H14" s="279">
        <v>42</v>
      </c>
      <c r="I14" s="280">
        <f aca="true" t="shared" si="2" ref="I14:I58">H14+G14</f>
        <v>49</v>
      </c>
      <c r="J14" s="281">
        <v>0</v>
      </c>
      <c r="K14" s="281">
        <v>0</v>
      </c>
      <c r="L14" s="281">
        <v>64.433</v>
      </c>
      <c r="M14" s="282">
        <f aca="true" t="shared" si="3" ref="M14:M58">J14+K14+L14</f>
        <v>64.433</v>
      </c>
      <c r="N14" s="283">
        <v>0</v>
      </c>
      <c r="O14" s="283">
        <v>0</v>
      </c>
      <c r="P14" s="283">
        <v>25</v>
      </c>
      <c r="Q14" s="284">
        <v>10</v>
      </c>
      <c r="R14" s="285">
        <f aca="true" t="shared" si="4" ref="R14:R58">N14+O14+P14+Q14</f>
        <v>35</v>
      </c>
      <c r="S14" s="285">
        <v>0</v>
      </c>
      <c r="T14" s="286">
        <f t="shared" si="0"/>
        <v>148.433</v>
      </c>
      <c r="U14" s="285"/>
      <c r="V14" s="286">
        <f aca="true" t="shared" si="5" ref="V14:V58">U14+T14</f>
        <v>148.433</v>
      </c>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row>
    <row r="15" spans="1:48" ht="15.75">
      <c r="A15" s="278">
        <v>3</v>
      </c>
      <c r="B15" s="407" t="s">
        <v>293</v>
      </c>
      <c r="C15" s="407"/>
      <c r="D15" s="279">
        <v>100</v>
      </c>
      <c r="E15" s="279">
        <v>15.9</v>
      </c>
      <c r="F15" s="279">
        <v>8.2</v>
      </c>
      <c r="G15" s="279">
        <f t="shared" si="1"/>
        <v>124.10000000000001</v>
      </c>
      <c r="H15" s="279">
        <v>50</v>
      </c>
      <c r="I15" s="280">
        <f t="shared" si="2"/>
        <v>174.10000000000002</v>
      </c>
      <c r="J15" s="281">
        <v>15.4</v>
      </c>
      <c r="K15" s="281">
        <v>8</v>
      </c>
      <c r="L15" s="281">
        <v>100</v>
      </c>
      <c r="M15" s="282">
        <f t="shared" si="3"/>
        <v>123.4</v>
      </c>
      <c r="N15" s="283">
        <v>131.5</v>
      </c>
      <c r="O15" s="283">
        <v>0</v>
      </c>
      <c r="P15" s="283">
        <v>170.8</v>
      </c>
      <c r="Q15" s="284">
        <v>0</v>
      </c>
      <c r="R15" s="285">
        <f t="shared" si="4"/>
        <v>302.3</v>
      </c>
      <c r="S15" s="285">
        <v>150</v>
      </c>
      <c r="T15" s="286">
        <f t="shared" si="0"/>
        <v>749.8000000000001</v>
      </c>
      <c r="U15" s="285"/>
      <c r="V15" s="286">
        <f t="shared" si="5"/>
        <v>749.8000000000001</v>
      </c>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row>
    <row r="16" spans="1:48" ht="15.75">
      <c r="A16" s="278">
        <v>4</v>
      </c>
      <c r="B16" s="407" t="s">
        <v>315</v>
      </c>
      <c r="C16" s="407"/>
      <c r="D16" s="279">
        <v>28</v>
      </c>
      <c r="E16" s="279">
        <v>3</v>
      </c>
      <c r="F16" s="279">
        <v>1.6</v>
      </c>
      <c r="G16" s="279">
        <f t="shared" si="1"/>
        <v>32.6</v>
      </c>
      <c r="H16" s="279">
        <v>0</v>
      </c>
      <c r="I16" s="280">
        <f t="shared" si="2"/>
        <v>32.6</v>
      </c>
      <c r="J16" s="281">
        <v>2.7</v>
      </c>
      <c r="K16" s="281">
        <v>2</v>
      </c>
      <c r="L16" s="281">
        <v>23.8</v>
      </c>
      <c r="M16" s="282">
        <f t="shared" si="3"/>
        <v>28.5</v>
      </c>
      <c r="N16" s="283">
        <v>0</v>
      </c>
      <c r="O16" s="283">
        <v>0</v>
      </c>
      <c r="P16" s="283">
        <v>0</v>
      </c>
      <c r="Q16" s="284">
        <v>0</v>
      </c>
      <c r="R16" s="285">
        <f t="shared" si="4"/>
        <v>0</v>
      </c>
      <c r="S16" s="285">
        <v>0</v>
      </c>
      <c r="T16" s="286">
        <f t="shared" si="0"/>
        <v>61.1</v>
      </c>
      <c r="U16" s="285"/>
      <c r="V16" s="286">
        <f t="shared" si="5"/>
        <v>61.1</v>
      </c>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row>
    <row r="17" spans="1:48" ht="15.75">
      <c r="A17" s="278">
        <v>5</v>
      </c>
      <c r="B17" s="407" t="s">
        <v>294</v>
      </c>
      <c r="C17" s="407"/>
      <c r="D17" s="279">
        <v>331.6</v>
      </c>
      <c r="E17" s="279">
        <v>38.3</v>
      </c>
      <c r="F17" s="279">
        <v>19.8</v>
      </c>
      <c r="G17" s="279">
        <f t="shared" si="1"/>
        <v>389.70000000000005</v>
      </c>
      <c r="H17" s="279">
        <v>100</v>
      </c>
      <c r="I17" s="280">
        <f t="shared" si="2"/>
        <v>489.70000000000005</v>
      </c>
      <c r="J17" s="281">
        <v>91.984</v>
      </c>
      <c r="K17" s="281">
        <v>108.402</v>
      </c>
      <c r="L17" s="281">
        <v>461.326</v>
      </c>
      <c r="M17" s="282">
        <f t="shared" si="3"/>
        <v>661.712</v>
      </c>
      <c r="N17" s="283">
        <v>430</v>
      </c>
      <c r="O17" s="283">
        <v>69</v>
      </c>
      <c r="P17" s="283">
        <v>0</v>
      </c>
      <c r="Q17" s="284">
        <v>35</v>
      </c>
      <c r="R17" s="285">
        <f t="shared" si="4"/>
        <v>534</v>
      </c>
      <c r="S17" s="285">
        <v>142.2</v>
      </c>
      <c r="T17" s="286">
        <f t="shared" si="0"/>
        <v>1827.612</v>
      </c>
      <c r="U17" s="285"/>
      <c r="V17" s="286">
        <f t="shared" si="5"/>
        <v>1827.612</v>
      </c>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row>
    <row r="18" spans="1:48" ht="15.75">
      <c r="A18" s="278">
        <v>6</v>
      </c>
      <c r="B18" s="407" t="s">
        <v>295</v>
      </c>
      <c r="C18" s="407"/>
      <c r="D18" s="279">
        <v>0</v>
      </c>
      <c r="E18" s="279">
        <v>0</v>
      </c>
      <c r="F18" s="279">
        <v>0</v>
      </c>
      <c r="G18" s="279">
        <f t="shared" si="1"/>
        <v>0</v>
      </c>
      <c r="H18" s="279">
        <v>0</v>
      </c>
      <c r="I18" s="280">
        <f t="shared" si="2"/>
        <v>0</v>
      </c>
      <c r="J18" s="281">
        <v>1.8</v>
      </c>
      <c r="K18" s="281">
        <v>11.4</v>
      </c>
      <c r="L18" s="281">
        <v>72.6</v>
      </c>
      <c r="M18" s="282">
        <f t="shared" si="3"/>
        <v>85.8</v>
      </c>
      <c r="N18" s="283">
        <v>0</v>
      </c>
      <c r="O18" s="283">
        <v>0</v>
      </c>
      <c r="P18" s="283">
        <v>0</v>
      </c>
      <c r="Q18" s="284">
        <v>0</v>
      </c>
      <c r="R18" s="285">
        <f t="shared" si="4"/>
        <v>0</v>
      </c>
      <c r="S18" s="285">
        <v>0</v>
      </c>
      <c r="T18" s="286">
        <f t="shared" si="0"/>
        <v>85.8</v>
      </c>
      <c r="U18" s="285"/>
      <c r="V18" s="286">
        <f t="shared" si="5"/>
        <v>85.8</v>
      </c>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row>
    <row r="19" spans="1:48" ht="15.75">
      <c r="A19" s="278">
        <v>7</v>
      </c>
      <c r="B19" s="407" t="s">
        <v>296</v>
      </c>
      <c r="C19" s="407"/>
      <c r="D19" s="279">
        <v>100</v>
      </c>
      <c r="E19" s="279">
        <v>3</v>
      </c>
      <c r="F19" s="279">
        <v>2</v>
      </c>
      <c r="G19" s="279">
        <f t="shared" si="1"/>
        <v>105</v>
      </c>
      <c r="H19" s="279">
        <v>30</v>
      </c>
      <c r="I19" s="280">
        <f t="shared" si="2"/>
        <v>135</v>
      </c>
      <c r="J19" s="281">
        <v>4.761</v>
      </c>
      <c r="K19" s="281">
        <v>10.792</v>
      </c>
      <c r="L19" s="281">
        <v>132.53</v>
      </c>
      <c r="M19" s="282">
        <f t="shared" si="3"/>
        <v>148.083</v>
      </c>
      <c r="N19" s="283">
        <v>0</v>
      </c>
      <c r="O19" s="283">
        <v>25</v>
      </c>
      <c r="P19" s="283">
        <v>45</v>
      </c>
      <c r="Q19" s="284">
        <v>10</v>
      </c>
      <c r="R19" s="285">
        <f t="shared" si="4"/>
        <v>80</v>
      </c>
      <c r="S19" s="285">
        <v>40</v>
      </c>
      <c r="T19" s="286">
        <f t="shared" si="0"/>
        <v>403.08299999999997</v>
      </c>
      <c r="U19" s="285"/>
      <c r="V19" s="286">
        <f t="shared" si="5"/>
        <v>403.08299999999997</v>
      </c>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row>
    <row r="20" spans="1:48" ht="15.75">
      <c r="A20" s="278">
        <v>8</v>
      </c>
      <c r="B20" s="407" t="s">
        <v>148</v>
      </c>
      <c r="C20" s="407"/>
      <c r="D20" s="279">
        <v>80</v>
      </c>
      <c r="E20" s="279">
        <v>5</v>
      </c>
      <c r="F20" s="279">
        <v>3</v>
      </c>
      <c r="G20" s="279">
        <f t="shared" si="1"/>
        <v>88</v>
      </c>
      <c r="H20" s="279">
        <v>10</v>
      </c>
      <c r="I20" s="280">
        <f t="shared" si="2"/>
        <v>98</v>
      </c>
      <c r="J20" s="281">
        <v>10.8</v>
      </c>
      <c r="K20" s="281">
        <v>11.6</v>
      </c>
      <c r="L20" s="281">
        <v>85</v>
      </c>
      <c r="M20" s="282">
        <f t="shared" si="3"/>
        <v>107.4</v>
      </c>
      <c r="N20" s="283">
        <v>160</v>
      </c>
      <c r="O20" s="283">
        <v>50</v>
      </c>
      <c r="P20" s="283">
        <v>50</v>
      </c>
      <c r="Q20" s="284">
        <v>0</v>
      </c>
      <c r="R20" s="285">
        <f t="shared" si="4"/>
        <v>260</v>
      </c>
      <c r="S20" s="285">
        <v>20</v>
      </c>
      <c r="T20" s="286">
        <f t="shared" si="0"/>
        <v>485.4</v>
      </c>
      <c r="U20" s="285"/>
      <c r="V20" s="286">
        <f t="shared" si="5"/>
        <v>485.4</v>
      </c>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row>
    <row r="21" spans="1:48" ht="15.75">
      <c r="A21" s="278">
        <v>9</v>
      </c>
      <c r="B21" s="407" t="s">
        <v>298</v>
      </c>
      <c r="C21" s="407"/>
      <c r="D21" s="279">
        <v>101.4</v>
      </c>
      <c r="E21" s="279">
        <v>11.7</v>
      </c>
      <c r="F21" s="279">
        <v>6.1</v>
      </c>
      <c r="G21" s="279">
        <f t="shared" si="1"/>
        <v>119.2</v>
      </c>
      <c r="H21" s="279">
        <v>40</v>
      </c>
      <c r="I21" s="280">
        <f t="shared" si="2"/>
        <v>159.2</v>
      </c>
      <c r="J21" s="281">
        <v>8.5</v>
      </c>
      <c r="K21" s="281">
        <v>5.2</v>
      </c>
      <c r="L21" s="281">
        <v>134.1</v>
      </c>
      <c r="M21" s="282">
        <f t="shared" si="3"/>
        <v>147.79999999999998</v>
      </c>
      <c r="N21" s="283">
        <v>0</v>
      </c>
      <c r="O21" s="283">
        <v>0</v>
      </c>
      <c r="P21" s="283">
        <v>0</v>
      </c>
      <c r="Q21" s="284">
        <v>0</v>
      </c>
      <c r="R21" s="285">
        <f t="shared" si="4"/>
        <v>0</v>
      </c>
      <c r="S21" s="285">
        <v>0</v>
      </c>
      <c r="T21" s="286">
        <f t="shared" si="0"/>
        <v>307</v>
      </c>
      <c r="U21" s="285"/>
      <c r="V21" s="286">
        <f t="shared" si="5"/>
        <v>307</v>
      </c>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row>
    <row r="22" spans="1:48" ht="15.75">
      <c r="A22" s="278">
        <v>10</v>
      </c>
      <c r="B22" s="407" t="s">
        <v>299</v>
      </c>
      <c r="C22" s="407"/>
      <c r="D22" s="279">
        <v>27.7</v>
      </c>
      <c r="E22" s="279">
        <v>3.2</v>
      </c>
      <c r="F22" s="279">
        <v>1.7</v>
      </c>
      <c r="G22" s="279">
        <f t="shared" si="1"/>
        <v>32.6</v>
      </c>
      <c r="H22" s="279">
        <v>19</v>
      </c>
      <c r="I22" s="280">
        <f t="shared" si="2"/>
        <v>51.6</v>
      </c>
      <c r="J22" s="281">
        <v>4.093</v>
      </c>
      <c r="K22" s="281">
        <v>4.54</v>
      </c>
      <c r="L22" s="281">
        <v>53.021</v>
      </c>
      <c r="M22" s="282">
        <f t="shared" si="3"/>
        <v>61.653999999999996</v>
      </c>
      <c r="N22" s="283">
        <v>60</v>
      </c>
      <c r="O22" s="283">
        <v>35</v>
      </c>
      <c r="P22" s="283">
        <v>20</v>
      </c>
      <c r="Q22" s="284">
        <v>0</v>
      </c>
      <c r="R22" s="285">
        <f t="shared" si="4"/>
        <v>115</v>
      </c>
      <c r="S22" s="285">
        <v>0</v>
      </c>
      <c r="T22" s="286">
        <f t="shared" si="0"/>
        <v>228.254</v>
      </c>
      <c r="U22" s="285"/>
      <c r="V22" s="286">
        <f t="shared" si="5"/>
        <v>228.254</v>
      </c>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row>
    <row r="23" spans="1:48" ht="15.75">
      <c r="A23" s="278">
        <v>11</v>
      </c>
      <c r="B23" s="407" t="s">
        <v>301</v>
      </c>
      <c r="C23" s="407"/>
      <c r="D23" s="279">
        <v>44</v>
      </c>
      <c r="E23" s="279">
        <v>4</v>
      </c>
      <c r="F23" s="279">
        <v>3</v>
      </c>
      <c r="G23" s="279">
        <f t="shared" si="1"/>
        <v>51</v>
      </c>
      <c r="H23" s="279">
        <v>40</v>
      </c>
      <c r="I23" s="280">
        <f t="shared" si="2"/>
        <v>91</v>
      </c>
      <c r="J23" s="281">
        <v>4</v>
      </c>
      <c r="K23" s="281">
        <v>3</v>
      </c>
      <c r="L23" s="281">
        <v>100</v>
      </c>
      <c r="M23" s="282">
        <f t="shared" si="3"/>
        <v>107</v>
      </c>
      <c r="N23" s="283">
        <v>30</v>
      </c>
      <c r="O23" s="283">
        <v>20</v>
      </c>
      <c r="P23" s="283">
        <v>0</v>
      </c>
      <c r="Q23" s="284">
        <v>0</v>
      </c>
      <c r="R23" s="285">
        <f t="shared" si="4"/>
        <v>50</v>
      </c>
      <c r="S23" s="285">
        <v>50</v>
      </c>
      <c r="T23" s="286">
        <f t="shared" si="0"/>
        <v>298</v>
      </c>
      <c r="U23" s="285"/>
      <c r="V23" s="286">
        <f t="shared" si="5"/>
        <v>298</v>
      </c>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row>
    <row r="24" spans="1:48" ht="15.75">
      <c r="A24" s="278">
        <v>12</v>
      </c>
      <c r="B24" s="407" t="s">
        <v>302</v>
      </c>
      <c r="C24" s="407"/>
      <c r="D24" s="279">
        <v>6</v>
      </c>
      <c r="E24" s="279">
        <v>12.7</v>
      </c>
      <c r="F24" s="279">
        <v>6.6</v>
      </c>
      <c r="G24" s="279">
        <f t="shared" si="1"/>
        <v>25.299999999999997</v>
      </c>
      <c r="H24" s="279">
        <v>0</v>
      </c>
      <c r="I24" s="280">
        <f t="shared" si="2"/>
        <v>25.299999999999997</v>
      </c>
      <c r="J24" s="281">
        <v>10.2</v>
      </c>
      <c r="K24" s="281">
        <v>20</v>
      </c>
      <c r="L24" s="281">
        <v>204.6</v>
      </c>
      <c r="M24" s="282">
        <f t="shared" si="3"/>
        <v>234.79999999999998</v>
      </c>
      <c r="N24" s="283">
        <v>0</v>
      </c>
      <c r="O24" s="283">
        <v>0</v>
      </c>
      <c r="P24" s="283">
        <v>0</v>
      </c>
      <c r="Q24" s="284">
        <v>0</v>
      </c>
      <c r="R24" s="285">
        <f t="shared" si="4"/>
        <v>0</v>
      </c>
      <c r="S24" s="285">
        <v>80</v>
      </c>
      <c r="T24" s="286">
        <f t="shared" si="0"/>
        <v>340.09999999999997</v>
      </c>
      <c r="U24" s="285"/>
      <c r="V24" s="286">
        <f t="shared" si="5"/>
        <v>340.09999999999997</v>
      </c>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row>
    <row r="25" spans="1:48" ht="15.75">
      <c r="A25" s="278">
        <v>13</v>
      </c>
      <c r="B25" s="407" t="s">
        <v>303</v>
      </c>
      <c r="C25" s="407"/>
      <c r="D25" s="279">
        <v>17</v>
      </c>
      <c r="E25" s="279">
        <v>2</v>
      </c>
      <c r="F25" s="279">
        <v>1</v>
      </c>
      <c r="G25" s="279">
        <f t="shared" si="1"/>
        <v>20</v>
      </c>
      <c r="H25" s="279">
        <v>5</v>
      </c>
      <c r="I25" s="280">
        <f t="shared" si="2"/>
        <v>25</v>
      </c>
      <c r="J25" s="281">
        <v>2.457</v>
      </c>
      <c r="K25" s="281">
        <v>5.675</v>
      </c>
      <c r="L25" s="281">
        <v>18.007</v>
      </c>
      <c r="M25" s="282">
        <f t="shared" si="3"/>
        <v>26.139000000000003</v>
      </c>
      <c r="N25" s="283">
        <v>10</v>
      </c>
      <c r="O25" s="283">
        <v>10</v>
      </c>
      <c r="P25" s="283">
        <v>8</v>
      </c>
      <c r="Q25" s="284">
        <v>0</v>
      </c>
      <c r="R25" s="285">
        <f t="shared" si="4"/>
        <v>28</v>
      </c>
      <c r="S25" s="285">
        <v>0</v>
      </c>
      <c r="T25" s="286">
        <f t="shared" si="0"/>
        <v>79.13900000000001</v>
      </c>
      <c r="U25" s="285"/>
      <c r="V25" s="286">
        <f t="shared" si="5"/>
        <v>79.13900000000001</v>
      </c>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row>
    <row r="26" spans="1:48" ht="15.75">
      <c r="A26" s="278">
        <v>14</v>
      </c>
      <c r="B26" s="407" t="s">
        <v>91</v>
      </c>
      <c r="C26" s="407"/>
      <c r="D26" s="279">
        <v>35.1</v>
      </c>
      <c r="E26" s="279">
        <v>4.1</v>
      </c>
      <c r="F26" s="279">
        <v>2.1</v>
      </c>
      <c r="G26" s="279">
        <f t="shared" si="1"/>
        <v>41.300000000000004</v>
      </c>
      <c r="H26" s="279">
        <v>0</v>
      </c>
      <c r="I26" s="280">
        <f t="shared" si="2"/>
        <v>41.300000000000004</v>
      </c>
      <c r="J26" s="281">
        <v>3.8</v>
      </c>
      <c r="K26" s="281">
        <v>20</v>
      </c>
      <c r="L26" s="281">
        <v>42</v>
      </c>
      <c r="M26" s="282">
        <f t="shared" si="3"/>
        <v>65.8</v>
      </c>
      <c r="N26" s="283">
        <v>100</v>
      </c>
      <c r="O26" s="283">
        <v>251.8</v>
      </c>
      <c r="P26" s="283">
        <v>28.6</v>
      </c>
      <c r="Q26" s="284">
        <v>175</v>
      </c>
      <c r="R26" s="285">
        <f t="shared" si="4"/>
        <v>555.4000000000001</v>
      </c>
      <c r="S26" s="285">
        <v>0</v>
      </c>
      <c r="T26" s="286">
        <f t="shared" si="0"/>
        <v>662.5</v>
      </c>
      <c r="U26" s="285"/>
      <c r="V26" s="286">
        <f t="shared" si="5"/>
        <v>662.5</v>
      </c>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row>
    <row r="27" spans="1:48" ht="15.75">
      <c r="A27" s="278">
        <v>15</v>
      </c>
      <c r="B27" s="407" t="s">
        <v>304</v>
      </c>
      <c r="C27" s="407"/>
      <c r="D27" s="279">
        <v>10</v>
      </c>
      <c r="E27" s="279">
        <v>12.6</v>
      </c>
      <c r="F27" s="279">
        <v>6.5</v>
      </c>
      <c r="G27" s="279">
        <f t="shared" si="1"/>
        <v>29.1</v>
      </c>
      <c r="H27" s="279">
        <v>30</v>
      </c>
      <c r="I27" s="280">
        <f t="shared" si="2"/>
        <v>59.1</v>
      </c>
      <c r="J27" s="281">
        <v>22</v>
      </c>
      <c r="K27" s="281">
        <v>8.522</v>
      </c>
      <c r="L27" s="281">
        <v>200</v>
      </c>
      <c r="M27" s="282">
        <f t="shared" si="3"/>
        <v>230.522</v>
      </c>
      <c r="N27" s="283">
        <v>0</v>
      </c>
      <c r="O27" s="283">
        <v>0</v>
      </c>
      <c r="P27" s="283">
        <v>0</v>
      </c>
      <c r="Q27" s="284">
        <v>0</v>
      </c>
      <c r="R27" s="285">
        <f t="shared" si="4"/>
        <v>0</v>
      </c>
      <c r="S27" s="285">
        <v>5</v>
      </c>
      <c r="T27" s="286">
        <f t="shared" si="0"/>
        <v>294.622</v>
      </c>
      <c r="U27" s="285"/>
      <c r="V27" s="286">
        <f t="shared" si="5"/>
        <v>294.622</v>
      </c>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row>
    <row r="28" spans="1:48" ht="15.75">
      <c r="A28" s="278">
        <v>16</v>
      </c>
      <c r="B28" s="407" t="s">
        <v>305</v>
      </c>
      <c r="C28" s="407"/>
      <c r="D28" s="279">
        <v>110</v>
      </c>
      <c r="E28" s="279">
        <v>25</v>
      </c>
      <c r="F28" s="279">
        <v>0</v>
      </c>
      <c r="G28" s="279">
        <f t="shared" si="1"/>
        <v>135</v>
      </c>
      <c r="H28" s="279">
        <v>14.7</v>
      </c>
      <c r="I28" s="280">
        <f t="shared" si="2"/>
        <v>149.7</v>
      </c>
      <c r="J28" s="281">
        <v>55.201</v>
      </c>
      <c r="K28" s="281">
        <v>85.125</v>
      </c>
      <c r="L28" s="281">
        <v>329.839</v>
      </c>
      <c r="M28" s="282">
        <f t="shared" si="3"/>
        <v>470.16499999999996</v>
      </c>
      <c r="N28" s="283">
        <v>844</v>
      </c>
      <c r="O28" s="283">
        <v>350</v>
      </c>
      <c r="P28" s="283">
        <v>200</v>
      </c>
      <c r="Q28" s="284">
        <v>0</v>
      </c>
      <c r="R28" s="285">
        <f t="shared" si="4"/>
        <v>1394</v>
      </c>
      <c r="S28" s="285">
        <v>0</v>
      </c>
      <c r="T28" s="286">
        <f t="shared" si="0"/>
        <v>2013.865</v>
      </c>
      <c r="U28" s="285"/>
      <c r="V28" s="286">
        <f t="shared" si="5"/>
        <v>2013.865</v>
      </c>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row>
    <row r="29" spans="1:48" ht="15.75">
      <c r="A29" s="278">
        <v>17</v>
      </c>
      <c r="B29" s="407" t="s">
        <v>307</v>
      </c>
      <c r="C29" s="407"/>
      <c r="D29" s="279">
        <v>26.5</v>
      </c>
      <c r="E29" s="279">
        <v>8.3</v>
      </c>
      <c r="F29" s="279">
        <v>4.3</v>
      </c>
      <c r="G29" s="279">
        <f t="shared" si="1"/>
        <v>39.099999999999994</v>
      </c>
      <c r="H29" s="279">
        <v>0</v>
      </c>
      <c r="I29" s="280">
        <f t="shared" si="2"/>
        <v>39.099999999999994</v>
      </c>
      <c r="J29" s="281">
        <v>7.202</v>
      </c>
      <c r="K29" s="281">
        <v>5.675</v>
      </c>
      <c r="L29" s="281">
        <v>97.279</v>
      </c>
      <c r="M29" s="282">
        <f t="shared" si="3"/>
        <v>110.15599999999999</v>
      </c>
      <c r="N29" s="283">
        <v>60</v>
      </c>
      <c r="O29" s="283">
        <v>25</v>
      </c>
      <c r="P29" s="283">
        <v>0</v>
      </c>
      <c r="Q29" s="284">
        <v>0</v>
      </c>
      <c r="R29" s="285">
        <f t="shared" si="4"/>
        <v>85</v>
      </c>
      <c r="S29" s="285">
        <v>45</v>
      </c>
      <c r="T29" s="286">
        <f t="shared" si="0"/>
        <v>279.256</v>
      </c>
      <c r="U29" s="285"/>
      <c r="V29" s="286">
        <f t="shared" si="5"/>
        <v>279.256</v>
      </c>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row>
    <row r="30" spans="1:48" ht="15.75">
      <c r="A30" s="278">
        <v>18</v>
      </c>
      <c r="B30" s="407" t="s">
        <v>306</v>
      </c>
      <c r="C30" s="407"/>
      <c r="D30" s="279">
        <v>0</v>
      </c>
      <c r="E30" s="279">
        <v>0</v>
      </c>
      <c r="F30" s="279">
        <v>0</v>
      </c>
      <c r="G30" s="279">
        <f t="shared" si="1"/>
        <v>0</v>
      </c>
      <c r="H30" s="279">
        <v>0</v>
      </c>
      <c r="I30" s="280">
        <f t="shared" si="2"/>
        <v>0</v>
      </c>
      <c r="J30" s="281">
        <v>4.9</v>
      </c>
      <c r="K30" s="281">
        <v>3.3</v>
      </c>
      <c r="L30" s="281">
        <v>264.8</v>
      </c>
      <c r="M30" s="282">
        <f t="shared" si="3"/>
        <v>273</v>
      </c>
      <c r="N30" s="283">
        <v>0</v>
      </c>
      <c r="O30" s="283">
        <v>0</v>
      </c>
      <c r="P30" s="283">
        <v>0</v>
      </c>
      <c r="Q30" s="284">
        <v>0</v>
      </c>
      <c r="R30" s="285">
        <f t="shared" si="4"/>
        <v>0</v>
      </c>
      <c r="S30" s="285">
        <v>0</v>
      </c>
      <c r="T30" s="286">
        <f t="shared" si="0"/>
        <v>273</v>
      </c>
      <c r="U30" s="285"/>
      <c r="V30" s="286">
        <f t="shared" si="5"/>
        <v>273</v>
      </c>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row>
    <row r="31" spans="1:48" ht="15.75">
      <c r="A31" s="278">
        <v>19</v>
      </c>
      <c r="B31" s="407" t="s">
        <v>308</v>
      </c>
      <c r="C31" s="407"/>
      <c r="D31" s="279">
        <v>150</v>
      </c>
      <c r="E31" s="279">
        <v>49.2</v>
      </c>
      <c r="F31" s="279">
        <v>25.5</v>
      </c>
      <c r="G31" s="279">
        <f t="shared" si="1"/>
        <v>224.7</v>
      </c>
      <c r="H31" s="279">
        <v>465</v>
      </c>
      <c r="I31" s="280">
        <f t="shared" si="2"/>
        <v>689.7</v>
      </c>
      <c r="J31" s="281">
        <v>59</v>
      </c>
      <c r="K31" s="281">
        <v>127.7</v>
      </c>
      <c r="L31" s="281">
        <v>747.3</v>
      </c>
      <c r="M31" s="282">
        <f t="shared" si="3"/>
        <v>934</v>
      </c>
      <c r="N31" s="283">
        <v>400</v>
      </c>
      <c r="O31" s="283">
        <v>200</v>
      </c>
      <c r="P31" s="283">
        <v>400</v>
      </c>
      <c r="Q31" s="284">
        <v>0</v>
      </c>
      <c r="R31" s="285">
        <f t="shared" si="4"/>
        <v>1000</v>
      </c>
      <c r="S31" s="285">
        <v>1382</v>
      </c>
      <c r="T31" s="286">
        <f t="shared" si="0"/>
        <v>4005.7</v>
      </c>
      <c r="U31" s="285"/>
      <c r="V31" s="286">
        <f t="shared" si="5"/>
        <v>4005.7</v>
      </c>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row>
    <row r="32" spans="1:48" ht="15.75">
      <c r="A32" s="278">
        <v>20</v>
      </c>
      <c r="B32" s="407" t="s">
        <v>309</v>
      </c>
      <c r="C32" s="407"/>
      <c r="D32" s="279">
        <v>0</v>
      </c>
      <c r="E32" s="279">
        <v>10</v>
      </c>
      <c r="F32" s="279">
        <v>0</v>
      </c>
      <c r="G32" s="279">
        <f t="shared" si="1"/>
        <v>10</v>
      </c>
      <c r="H32" s="279">
        <v>25</v>
      </c>
      <c r="I32" s="280">
        <f t="shared" si="2"/>
        <v>35</v>
      </c>
      <c r="J32" s="281">
        <v>0</v>
      </c>
      <c r="K32" s="281">
        <v>0</v>
      </c>
      <c r="L32" s="281">
        <v>0</v>
      </c>
      <c r="M32" s="282">
        <f t="shared" si="3"/>
        <v>0</v>
      </c>
      <c r="N32" s="283">
        <v>310</v>
      </c>
      <c r="O32" s="283">
        <v>100</v>
      </c>
      <c r="P32" s="283">
        <v>400</v>
      </c>
      <c r="Q32" s="284">
        <v>0</v>
      </c>
      <c r="R32" s="285">
        <f t="shared" si="4"/>
        <v>810</v>
      </c>
      <c r="S32" s="285">
        <v>0</v>
      </c>
      <c r="T32" s="286">
        <f t="shared" si="0"/>
        <v>845</v>
      </c>
      <c r="U32" s="285"/>
      <c r="V32" s="286">
        <f t="shared" si="5"/>
        <v>845</v>
      </c>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row>
    <row r="33" spans="1:48" ht="15.75">
      <c r="A33" s="278">
        <v>21</v>
      </c>
      <c r="B33" s="407" t="s">
        <v>310</v>
      </c>
      <c r="C33" s="407"/>
      <c r="D33" s="279">
        <v>0.77</v>
      </c>
      <c r="E33" s="279">
        <v>2.4</v>
      </c>
      <c r="F33" s="279">
        <v>1.2</v>
      </c>
      <c r="G33" s="279">
        <f t="shared" si="1"/>
        <v>4.37</v>
      </c>
      <c r="H33" s="279">
        <v>16</v>
      </c>
      <c r="I33" s="280">
        <f t="shared" si="2"/>
        <v>20.37</v>
      </c>
      <c r="J33" s="281">
        <v>2.001</v>
      </c>
      <c r="K33" s="281">
        <v>9.1</v>
      </c>
      <c r="L33" s="281">
        <v>40.023</v>
      </c>
      <c r="M33" s="282">
        <f t="shared" si="3"/>
        <v>51.124</v>
      </c>
      <c r="N33" s="283">
        <v>0</v>
      </c>
      <c r="O33" s="283">
        <v>0</v>
      </c>
      <c r="P33" s="283">
        <v>0</v>
      </c>
      <c r="Q33" s="284">
        <v>35</v>
      </c>
      <c r="R33" s="285">
        <f t="shared" si="4"/>
        <v>35</v>
      </c>
      <c r="S33" s="285">
        <v>9</v>
      </c>
      <c r="T33" s="286">
        <f t="shared" si="0"/>
        <v>115.494</v>
      </c>
      <c r="U33" s="285"/>
      <c r="V33" s="286">
        <f t="shared" si="5"/>
        <v>115.494</v>
      </c>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row>
    <row r="34" spans="1:48" ht="15.75">
      <c r="A34" s="278">
        <v>22</v>
      </c>
      <c r="B34" s="407" t="s">
        <v>311</v>
      </c>
      <c r="C34" s="407"/>
      <c r="D34" s="279">
        <v>71.8</v>
      </c>
      <c r="E34" s="279">
        <v>8.7</v>
      </c>
      <c r="F34" s="279">
        <v>4.5</v>
      </c>
      <c r="G34" s="279">
        <f t="shared" si="1"/>
        <v>85</v>
      </c>
      <c r="H34" s="279">
        <v>40</v>
      </c>
      <c r="I34" s="280">
        <f t="shared" si="2"/>
        <v>125</v>
      </c>
      <c r="J34" s="281">
        <v>13.136</v>
      </c>
      <c r="K34" s="281">
        <v>5.6</v>
      </c>
      <c r="L34" s="281">
        <v>81.264</v>
      </c>
      <c r="M34" s="282">
        <f t="shared" si="3"/>
        <v>100</v>
      </c>
      <c r="N34" s="283">
        <v>100</v>
      </c>
      <c r="O34" s="283">
        <v>0</v>
      </c>
      <c r="P34" s="283">
        <v>100</v>
      </c>
      <c r="Q34" s="284">
        <v>0</v>
      </c>
      <c r="R34" s="285">
        <f t="shared" si="4"/>
        <v>200</v>
      </c>
      <c r="S34" s="285">
        <v>20</v>
      </c>
      <c r="T34" s="286">
        <f t="shared" si="0"/>
        <v>445</v>
      </c>
      <c r="U34" s="285"/>
      <c r="V34" s="286">
        <f t="shared" si="5"/>
        <v>445</v>
      </c>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row>
    <row r="35" spans="1:48" ht="15.75">
      <c r="A35" s="278">
        <v>23</v>
      </c>
      <c r="B35" s="407" t="s">
        <v>312</v>
      </c>
      <c r="C35" s="407"/>
      <c r="D35" s="279">
        <v>166.5</v>
      </c>
      <c r="E35" s="279">
        <v>19.3</v>
      </c>
      <c r="F35" s="279">
        <v>10.2</v>
      </c>
      <c r="G35" s="279">
        <f t="shared" si="1"/>
        <v>196</v>
      </c>
      <c r="H35" s="279">
        <v>0</v>
      </c>
      <c r="I35" s="280">
        <f t="shared" si="2"/>
        <v>196</v>
      </c>
      <c r="J35" s="281">
        <v>79.4</v>
      </c>
      <c r="K35" s="281">
        <v>28.4</v>
      </c>
      <c r="L35" s="281">
        <v>183.6</v>
      </c>
      <c r="M35" s="282">
        <f t="shared" si="3"/>
        <v>291.4</v>
      </c>
      <c r="N35" s="283">
        <v>60</v>
      </c>
      <c r="O35" s="283">
        <v>90</v>
      </c>
      <c r="P35" s="283">
        <v>50</v>
      </c>
      <c r="Q35" s="284">
        <v>50</v>
      </c>
      <c r="R35" s="285">
        <f t="shared" si="4"/>
        <v>250</v>
      </c>
      <c r="S35" s="285">
        <v>37</v>
      </c>
      <c r="T35" s="286">
        <f t="shared" si="0"/>
        <v>774.4</v>
      </c>
      <c r="U35" s="285"/>
      <c r="V35" s="286">
        <f t="shared" si="5"/>
        <v>774.4</v>
      </c>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row>
    <row r="36" spans="1:48" ht="15.75">
      <c r="A36" s="278">
        <v>24</v>
      </c>
      <c r="B36" s="407" t="s">
        <v>313</v>
      </c>
      <c r="C36" s="407"/>
      <c r="D36" s="279">
        <v>63.7</v>
      </c>
      <c r="E36" s="279">
        <v>10.6</v>
      </c>
      <c r="F36" s="279">
        <v>5.5</v>
      </c>
      <c r="G36" s="279">
        <f t="shared" si="1"/>
        <v>79.8</v>
      </c>
      <c r="H36" s="279">
        <v>65</v>
      </c>
      <c r="I36" s="280">
        <f t="shared" si="2"/>
        <v>144.8</v>
      </c>
      <c r="J36" s="281">
        <v>12.8</v>
      </c>
      <c r="K36" s="281">
        <v>8.6</v>
      </c>
      <c r="L36" s="281">
        <v>72.1</v>
      </c>
      <c r="M36" s="282">
        <f t="shared" si="3"/>
        <v>93.5</v>
      </c>
      <c r="N36" s="283">
        <v>0</v>
      </c>
      <c r="O36" s="283">
        <v>100</v>
      </c>
      <c r="P36" s="283">
        <v>175</v>
      </c>
      <c r="Q36" s="284">
        <v>175</v>
      </c>
      <c r="R36" s="285">
        <f t="shared" si="4"/>
        <v>450</v>
      </c>
      <c r="S36" s="285">
        <v>45</v>
      </c>
      <c r="T36" s="286">
        <f t="shared" si="0"/>
        <v>733.3</v>
      </c>
      <c r="U36" s="285"/>
      <c r="V36" s="286">
        <f t="shared" si="5"/>
        <v>733.3</v>
      </c>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row>
    <row r="37" spans="1:48" ht="15.75">
      <c r="A37" s="278">
        <v>25</v>
      </c>
      <c r="B37" s="407" t="s">
        <v>314</v>
      </c>
      <c r="C37" s="407"/>
      <c r="D37" s="279">
        <v>107.4</v>
      </c>
      <c r="E37" s="279">
        <v>12.4</v>
      </c>
      <c r="F37" s="279">
        <v>6.4</v>
      </c>
      <c r="G37" s="279">
        <f t="shared" si="1"/>
        <v>126.20000000000002</v>
      </c>
      <c r="H37" s="279">
        <v>128</v>
      </c>
      <c r="I37" s="280">
        <f t="shared" si="2"/>
        <v>254.20000000000002</v>
      </c>
      <c r="J37" s="281">
        <v>17</v>
      </c>
      <c r="K37" s="281">
        <v>11</v>
      </c>
      <c r="L37" s="281">
        <v>146.5</v>
      </c>
      <c r="M37" s="282">
        <f t="shared" si="3"/>
        <v>174.5</v>
      </c>
      <c r="N37" s="283">
        <v>750</v>
      </c>
      <c r="O37" s="283">
        <v>0</v>
      </c>
      <c r="P37" s="283">
        <v>0</v>
      </c>
      <c r="Q37" s="284">
        <v>0</v>
      </c>
      <c r="R37" s="285">
        <f t="shared" si="4"/>
        <v>750</v>
      </c>
      <c r="S37" s="285">
        <v>0</v>
      </c>
      <c r="T37" s="286">
        <f t="shared" si="0"/>
        <v>1178.7</v>
      </c>
      <c r="U37" s="285"/>
      <c r="V37" s="286">
        <f t="shared" si="5"/>
        <v>1178.7</v>
      </c>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row>
    <row r="38" spans="1:48" ht="15.75">
      <c r="A38" s="278">
        <v>26</v>
      </c>
      <c r="B38" s="407" t="s">
        <v>110</v>
      </c>
      <c r="C38" s="407"/>
      <c r="D38" s="279">
        <v>3.8</v>
      </c>
      <c r="E38" s="279">
        <v>16.9</v>
      </c>
      <c r="F38" s="279">
        <v>8.3</v>
      </c>
      <c r="G38" s="279">
        <f t="shared" si="1"/>
        <v>29</v>
      </c>
      <c r="H38" s="279">
        <v>0</v>
      </c>
      <c r="I38" s="280">
        <f t="shared" si="2"/>
        <v>29</v>
      </c>
      <c r="J38" s="281">
        <v>0</v>
      </c>
      <c r="K38" s="281">
        <v>0</v>
      </c>
      <c r="L38" s="281">
        <v>70</v>
      </c>
      <c r="M38" s="282">
        <f t="shared" si="3"/>
        <v>70</v>
      </c>
      <c r="N38" s="283">
        <v>0</v>
      </c>
      <c r="O38" s="283">
        <v>0</v>
      </c>
      <c r="P38" s="283">
        <v>0</v>
      </c>
      <c r="Q38" s="284">
        <v>0</v>
      </c>
      <c r="R38" s="285">
        <f t="shared" si="4"/>
        <v>0</v>
      </c>
      <c r="S38" s="285">
        <v>0</v>
      </c>
      <c r="T38" s="286">
        <f t="shared" si="0"/>
        <v>99</v>
      </c>
      <c r="U38" s="285"/>
      <c r="V38" s="286">
        <f t="shared" si="5"/>
        <v>99</v>
      </c>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row>
    <row r="39" spans="1:48" ht="15.75">
      <c r="A39" s="278">
        <v>27</v>
      </c>
      <c r="B39" s="407" t="s">
        <v>317</v>
      </c>
      <c r="C39" s="407"/>
      <c r="D39" s="279">
        <v>43</v>
      </c>
      <c r="E39" s="279">
        <v>10.3</v>
      </c>
      <c r="F39" s="279">
        <v>5.4</v>
      </c>
      <c r="G39" s="279">
        <f t="shared" si="1"/>
        <v>58.699999999999996</v>
      </c>
      <c r="H39" s="279">
        <v>116</v>
      </c>
      <c r="I39" s="280">
        <f t="shared" si="2"/>
        <v>174.7</v>
      </c>
      <c r="J39" s="281">
        <v>10</v>
      </c>
      <c r="K39" s="281">
        <v>3</v>
      </c>
      <c r="L39" s="281">
        <v>119.8</v>
      </c>
      <c r="M39" s="282">
        <f t="shared" si="3"/>
        <v>132.8</v>
      </c>
      <c r="N39" s="283">
        <v>170</v>
      </c>
      <c r="O39" s="283">
        <v>100</v>
      </c>
      <c r="P39" s="283">
        <v>100</v>
      </c>
      <c r="Q39" s="284">
        <v>45</v>
      </c>
      <c r="R39" s="285">
        <f t="shared" si="4"/>
        <v>415</v>
      </c>
      <c r="S39" s="285">
        <v>30</v>
      </c>
      <c r="T39" s="286">
        <f t="shared" si="0"/>
        <v>752.5</v>
      </c>
      <c r="U39" s="285"/>
      <c r="V39" s="286">
        <f t="shared" si="5"/>
        <v>752.5</v>
      </c>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row>
    <row r="40" spans="1:48" ht="15.75">
      <c r="A40" s="278">
        <v>28</v>
      </c>
      <c r="B40" s="407" t="s">
        <v>318</v>
      </c>
      <c r="C40" s="407"/>
      <c r="D40" s="279">
        <v>2</v>
      </c>
      <c r="E40" s="279">
        <v>6.1</v>
      </c>
      <c r="F40" s="279">
        <v>3.9</v>
      </c>
      <c r="G40" s="279">
        <f t="shared" si="1"/>
        <v>12</v>
      </c>
      <c r="H40" s="279">
        <v>14</v>
      </c>
      <c r="I40" s="280">
        <f t="shared" si="2"/>
        <v>26</v>
      </c>
      <c r="J40" s="281">
        <v>3.556</v>
      </c>
      <c r="K40" s="281">
        <v>4.2</v>
      </c>
      <c r="L40" s="281">
        <v>0</v>
      </c>
      <c r="M40" s="282">
        <f t="shared" si="3"/>
        <v>7.756</v>
      </c>
      <c r="N40" s="283">
        <v>30</v>
      </c>
      <c r="O40" s="283">
        <v>28</v>
      </c>
      <c r="P40" s="283">
        <v>83</v>
      </c>
      <c r="Q40" s="284">
        <v>51</v>
      </c>
      <c r="R40" s="285">
        <f t="shared" si="4"/>
        <v>192</v>
      </c>
      <c r="S40" s="285">
        <v>0</v>
      </c>
      <c r="T40" s="286">
        <f t="shared" si="0"/>
        <v>225.756</v>
      </c>
      <c r="U40" s="285"/>
      <c r="V40" s="286">
        <f t="shared" si="5"/>
        <v>225.756</v>
      </c>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row>
    <row r="41" spans="1:48" s="242" customFormat="1" ht="15.75">
      <c r="A41" s="409" t="s">
        <v>111</v>
      </c>
      <c r="B41" s="409"/>
      <c r="C41" s="409"/>
      <c r="D41" s="287">
        <f>SUM(D13:D40)</f>
        <v>1651.2700000000002</v>
      </c>
      <c r="E41" s="287">
        <f aca="true" t="shared" si="6" ref="E41:V41">SUM(E13:E40)</f>
        <v>419.29999999999995</v>
      </c>
      <c r="F41" s="287">
        <f t="shared" si="6"/>
        <v>169.20000000000002</v>
      </c>
      <c r="G41" s="287">
        <f t="shared" si="6"/>
        <v>2239.7699999999995</v>
      </c>
      <c r="H41" s="287">
        <f t="shared" si="6"/>
        <v>1249.7</v>
      </c>
      <c r="I41" s="288">
        <f t="shared" si="6"/>
        <v>3489.4699999999993</v>
      </c>
      <c r="J41" s="287">
        <f t="shared" si="6"/>
        <v>546.691</v>
      </c>
      <c r="K41" s="287">
        <f t="shared" si="6"/>
        <v>810.831</v>
      </c>
      <c r="L41" s="287">
        <f t="shared" si="6"/>
        <v>5793.922000000001</v>
      </c>
      <c r="M41" s="288">
        <f t="shared" si="6"/>
        <v>7151.444</v>
      </c>
      <c r="N41" s="287">
        <f t="shared" si="6"/>
        <v>4883</v>
      </c>
      <c r="O41" s="287">
        <f t="shared" si="6"/>
        <v>2438.8</v>
      </c>
      <c r="P41" s="287">
        <f t="shared" si="6"/>
        <v>3632.9</v>
      </c>
      <c r="Q41" s="287">
        <f t="shared" si="6"/>
        <v>586</v>
      </c>
      <c r="R41" s="288">
        <f t="shared" si="6"/>
        <v>11540.7</v>
      </c>
      <c r="S41" s="288">
        <f t="shared" si="6"/>
        <v>2055.2</v>
      </c>
      <c r="T41" s="287">
        <f t="shared" si="6"/>
        <v>24236.814</v>
      </c>
      <c r="U41" s="288">
        <f t="shared" si="6"/>
        <v>250</v>
      </c>
      <c r="V41" s="287">
        <f t="shared" si="6"/>
        <v>24486.814</v>
      </c>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row>
    <row r="42" spans="1:48" ht="15.75">
      <c r="A42" s="278">
        <v>29</v>
      </c>
      <c r="B42" s="407" t="s">
        <v>149</v>
      </c>
      <c r="C42" s="407"/>
      <c r="D42" s="279">
        <v>0</v>
      </c>
      <c r="E42" s="279">
        <v>0</v>
      </c>
      <c r="F42" s="279">
        <v>0</v>
      </c>
      <c r="G42" s="279">
        <f t="shared" si="1"/>
        <v>0</v>
      </c>
      <c r="H42" s="279">
        <v>0</v>
      </c>
      <c r="I42" s="280">
        <f t="shared" si="2"/>
        <v>0</v>
      </c>
      <c r="J42" s="281">
        <v>2.528</v>
      </c>
      <c r="K42" s="281">
        <v>6.867</v>
      </c>
      <c r="L42" s="281">
        <v>54.929</v>
      </c>
      <c r="M42" s="282">
        <f t="shared" si="3"/>
        <v>64.324</v>
      </c>
      <c r="N42" s="283">
        <v>0</v>
      </c>
      <c r="O42" s="283">
        <v>0</v>
      </c>
      <c r="P42" s="283">
        <v>0</v>
      </c>
      <c r="Q42" s="284">
        <v>0</v>
      </c>
      <c r="R42" s="285">
        <f t="shared" si="4"/>
        <v>0</v>
      </c>
      <c r="S42" s="285">
        <v>0</v>
      </c>
      <c r="T42" s="286">
        <f aca="true" t="shared" si="7" ref="T42:T58">S42+R42+M42+I42</f>
        <v>64.324</v>
      </c>
      <c r="U42" s="285"/>
      <c r="V42" s="286">
        <f t="shared" si="5"/>
        <v>64.324</v>
      </c>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row>
    <row r="43" spans="1:48" ht="15.75">
      <c r="A43" s="278">
        <v>30</v>
      </c>
      <c r="B43" s="407" t="s">
        <v>150</v>
      </c>
      <c r="C43" s="407"/>
      <c r="D43" s="279">
        <v>17</v>
      </c>
      <c r="E43" s="279">
        <v>3.5</v>
      </c>
      <c r="F43" s="279">
        <v>3</v>
      </c>
      <c r="G43" s="279">
        <f t="shared" si="1"/>
        <v>23.5</v>
      </c>
      <c r="H43" s="279">
        <v>10</v>
      </c>
      <c r="I43" s="280">
        <f t="shared" si="2"/>
        <v>33.5</v>
      </c>
      <c r="J43" s="281">
        <v>4.5</v>
      </c>
      <c r="K43" s="281">
        <v>3</v>
      </c>
      <c r="L43" s="281">
        <v>45</v>
      </c>
      <c r="M43" s="282">
        <f t="shared" si="3"/>
        <v>52.5</v>
      </c>
      <c r="N43" s="283">
        <v>100</v>
      </c>
      <c r="O43" s="283">
        <v>0</v>
      </c>
      <c r="P43" s="283">
        <v>0</v>
      </c>
      <c r="Q43" s="284">
        <v>0</v>
      </c>
      <c r="R43" s="285">
        <f t="shared" si="4"/>
        <v>100</v>
      </c>
      <c r="S43" s="285">
        <v>50</v>
      </c>
      <c r="T43" s="286">
        <f t="shared" si="7"/>
        <v>236</v>
      </c>
      <c r="U43" s="285"/>
      <c r="V43" s="286">
        <f t="shared" si="5"/>
        <v>236</v>
      </c>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row>
    <row r="44" spans="1:48" ht="15.75">
      <c r="A44" s="278">
        <v>31</v>
      </c>
      <c r="B44" s="407" t="s">
        <v>151</v>
      </c>
      <c r="C44" s="407"/>
      <c r="D44" s="279">
        <v>1</v>
      </c>
      <c r="E44" s="279">
        <v>3</v>
      </c>
      <c r="F44" s="279">
        <v>3</v>
      </c>
      <c r="G44" s="279">
        <f t="shared" si="1"/>
        <v>7</v>
      </c>
      <c r="H44" s="279">
        <v>0</v>
      </c>
      <c r="I44" s="280">
        <f t="shared" si="2"/>
        <v>7</v>
      </c>
      <c r="J44" s="281">
        <v>5.209</v>
      </c>
      <c r="K44" s="281">
        <v>3.126</v>
      </c>
      <c r="L44" s="281">
        <v>118.246</v>
      </c>
      <c r="M44" s="282">
        <f t="shared" si="3"/>
        <v>126.58099999999999</v>
      </c>
      <c r="N44" s="283">
        <v>0</v>
      </c>
      <c r="O44" s="283">
        <v>0</v>
      </c>
      <c r="P44" s="283">
        <v>0</v>
      </c>
      <c r="Q44" s="284">
        <v>0</v>
      </c>
      <c r="R44" s="285">
        <f t="shared" si="4"/>
        <v>0</v>
      </c>
      <c r="S44" s="285">
        <v>0</v>
      </c>
      <c r="T44" s="286">
        <f t="shared" si="7"/>
        <v>133.581</v>
      </c>
      <c r="U44" s="285"/>
      <c r="V44" s="286">
        <f t="shared" si="5"/>
        <v>133.581</v>
      </c>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row>
    <row r="45" spans="1:48" ht="15.75">
      <c r="A45" s="278">
        <v>32</v>
      </c>
      <c r="B45" s="407" t="s">
        <v>152</v>
      </c>
      <c r="C45" s="407"/>
      <c r="D45" s="279">
        <v>0</v>
      </c>
      <c r="E45" s="279">
        <v>0</v>
      </c>
      <c r="F45" s="279">
        <v>0</v>
      </c>
      <c r="G45" s="279">
        <f t="shared" si="1"/>
        <v>0</v>
      </c>
      <c r="H45" s="279">
        <v>0</v>
      </c>
      <c r="I45" s="280">
        <f t="shared" si="2"/>
        <v>0</v>
      </c>
      <c r="J45" s="281">
        <v>0</v>
      </c>
      <c r="K45" s="281">
        <v>0</v>
      </c>
      <c r="L45" s="281">
        <v>39.5</v>
      </c>
      <c r="M45" s="282">
        <f t="shared" si="3"/>
        <v>39.5</v>
      </c>
      <c r="N45" s="283">
        <v>0</v>
      </c>
      <c r="O45" s="283">
        <v>0</v>
      </c>
      <c r="P45" s="283">
        <v>0</v>
      </c>
      <c r="Q45" s="284">
        <v>0</v>
      </c>
      <c r="R45" s="285">
        <f t="shared" si="4"/>
        <v>0</v>
      </c>
      <c r="S45" s="285">
        <v>0</v>
      </c>
      <c r="T45" s="286">
        <f t="shared" si="7"/>
        <v>39.5</v>
      </c>
      <c r="U45" s="285"/>
      <c r="V45" s="286">
        <f t="shared" si="5"/>
        <v>39.5</v>
      </c>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row>
    <row r="46" spans="1:48" ht="15.75">
      <c r="A46" s="278">
        <v>33</v>
      </c>
      <c r="B46" s="407" t="s">
        <v>153</v>
      </c>
      <c r="C46" s="407"/>
      <c r="D46" s="279">
        <v>30</v>
      </c>
      <c r="E46" s="279">
        <v>5.7</v>
      </c>
      <c r="F46" s="279">
        <v>2.9</v>
      </c>
      <c r="G46" s="279">
        <f t="shared" si="1"/>
        <v>38.6</v>
      </c>
      <c r="H46" s="279">
        <v>0</v>
      </c>
      <c r="I46" s="280">
        <f t="shared" si="2"/>
        <v>38.6</v>
      </c>
      <c r="J46" s="281">
        <v>0</v>
      </c>
      <c r="K46" s="281">
        <v>0</v>
      </c>
      <c r="L46" s="281">
        <v>0</v>
      </c>
      <c r="M46" s="282">
        <f t="shared" si="3"/>
        <v>0</v>
      </c>
      <c r="N46" s="283">
        <v>0</v>
      </c>
      <c r="O46" s="283">
        <v>0</v>
      </c>
      <c r="P46" s="283">
        <v>0</v>
      </c>
      <c r="Q46" s="284">
        <v>0</v>
      </c>
      <c r="R46" s="285">
        <f t="shared" si="4"/>
        <v>0</v>
      </c>
      <c r="S46" s="285">
        <v>35</v>
      </c>
      <c r="T46" s="286">
        <f t="shared" si="7"/>
        <v>73.6</v>
      </c>
      <c r="U46" s="285"/>
      <c r="V46" s="286">
        <f t="shared" si="5"/>
        <v>73.6</v>
      </c>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row>
    <row r="47" spans="1:48" ht="15.75">
      <c r="A47" s="278">
        <v>34</v>
      </c>
      <c r="B47" s="407" t="s">
        <v>154</v>
      </c>
      <c r="C47" s="407"/>
      <c r="D47" s="279">
        <v>0</v>
      </c>
      <c r="E47" s="279">
        <v>3.4</v>
      </c>
      <c r="F47" s="279">
        <v>1.7</v>
      </c>
      <c r="G47" s="279">
        <f t="shared" si="1"/>
        <v>5.1</v>
      </c>
      <c r="H47" s="279">
        <v>0</v>
      </c>
      <c r="I47" s="280">
        <f t="shared" si="2"/>
        <v>5.1</v>
      </c>
      <c r="J47" s="281">
        <v>6.105</v>
      </c>
      <c r="K47" s="281">
        <v>2.27</v>
      </c>
      <c r="L47" s="281">
        <v>41.702</v>
      </c>
      <c r="M47" s="282">
        <f t="shared" si="3"/>
        <v>50.077</v>
      </c>
      <c r="N47" s="283">
        <v>0</v>
      </c>
      <c r="O47" s="283">
        <v>40</v>
      </c>
      <c r="P47" s="283">
        <v>100</v>
      </c>
      <c r="Q47" s="284">
        <v>0</v>
      </c>
      <c r="R47" s="285">
        <f t="shared" si="4"/>
        <v>140</v>
      </c>
      <c r="S47" s="285">
        <v>0</v>
      </c>
      <c r="T47" s="286">
        <f t="shared" si="7"/>
        <v>195.177</v>
      </c>
      <c r="U47" s="285"/>
      <c r="V47" s="286">
        <f t="shared" si="5"/>
        <v>195.177</v>
      </c>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row>
    <row r="48" spans="1:48" ht="15.75">
      <c r="A48" s="278">
        <v>35</v>
      </c>
      <c r="B48" s="407" t="s">
        <v>112</v>
      </c>
      <c r="C48" s="407"/>
      <c r="D48" s="279">
        <v>0</v>
      </c>
      <c r="E48" s="279">
        <v>2.3</v>
      </c>
      <c r="F48" s="279">
        <v>2.2</v>
      </c>
      <c r="G48" s="279">
        <f t="shared" si="1"/>
        <v>4.5</v>
      </c>
      <c r="H48" s="279">
        <v>30</v>
      </c>
      <c r="I48" s="280">
        <f t="shared" si="2"/>
        <v>34.5</v>
      </c>
      <c r="J48" s="281">
        <v>6</v>
      </c>
      <c r="K48" s="281">
        <v>0.6</v>
      </c>
      <c r="L48" s="281">
        <v>38.4</v>
      </c>
      <c r="M48" s="282">
        <f t="shared" si="3"/>
        <v>45</v>
      </c>
      <c r="N48" s="283">
        <v>0</v>
      </c>
      <c r="O48" s="283">
        <v>20</v>
      </c>
      <c r="P48" s="283">
        <v>0</v>
      </c>
      <c r="Q48" s="284">
        <v>0</v>
      </c>
      <c r="R48" s="285">
        <f t="shared" si="4"/>
        <v>20</v>
      </c>
      <c r="S48" s="285">
        <v>5</v>
      </c>
      <c r="T48" s="286">
        <f t="shared" si="7"/>
        <v>104.5</v>
      </c>
      <c r="U48" s="285"/>
      <c r="V48" s="286">
        <f t="shared" si="5"/>
        <v>104.5</v>
      </c>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row>
    <row r="49" spans="1:48" ht="15.75">
      <c r="A49" s="278">
        <v>36</v>
      </c>
      <c r="B49" s="407" t="s">
        <v>155</v>
      </c>
      <c r="C49" s="407"/>
      <c r="D49" s="279">
        <v>6</v>
      </c>
      <c r="E49" s="279">
        <v>5</v>
      </c>
      <c r="F49" s="279">
        <v>3</v>
      </c>
      <c r="G49" s="279">
        <f t="shared" si="1"/>
        <v>14</v>
      </c>
      <c r="H49" s="279">
        <v>50</v>
      </c>
      <c r="I49" s="280">
        <f t="shared" si="2"/>
        <v>64</v>
      </c>
      <c r="J49" s="281">
        <v>2.2</v>
      </c>
      <c r="K49" s="281">
        <v>3.6</v>
      </c>
      <c r="L49" s="281">
        <v>49</v>
      </c>
      <c r="M49" s="282">
        <f t="shared" si="3"/>
        <v>54.8</v>
      </c>
      <c r="N49" s="283">
        <v>0</v>
      </c>
      <c r="O49" s="283">
        <v>30</v>
      </c>
      <c r="P49" s="283">
        <v>0</v>
      </c>
      <c r="Q49" s="284">
        <v>0</v>
      </c>
      <c r="R49" s="285">
        <f t="shared" si="4"/>
        <v>30</v>
      </c>
      <c r="S49" s="285">
        <v>20</v>
      </c>
      <c r="T49" s="286">
        <f t="shared" si="7"/>
        <v>168.8</v>
      </c>
      <c r="U49" s="285"/>
      <c r="V49" s="286">
        <f t="shared" si="5"/>
        <v>168.8</v>
      </c>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row>
    <row r="50" spans="1:48" ht="15.75">
      <c r="A50" s="278">
        <v>37</v>
      </c>
      <c r="B50" s="407" t="s">
        <v>156</v>
      </c>
      <c r="C50" s="407"/>
      <c r="D50" s="279">
        <v>0</v>
      </c>
      <c r="E50" s="279">
        <v>0</v>
      </c>
      <c r="F50" s="279">
        <v>0</v>
      </c>
      <c r="G50" s="279">
        <f t="shared" si="1"/>
        <v>0</v>
      </c>
      <c r="H50" s="279">
        <v>0</v>
      </c>
      <c r="I50" s="280">
        <f t="shared" si="2"/>
        <v>0</v>
      </c>
      <c r="J50" s="281">
        <v>12.758</v>
      </c>
      <c r="K50" s="281">
        <v>5.973</v>
      </c>
      <c r="L50" s="281">
        <v>164.002</v>
      </c>
      <c r="M50" s="282">
        <f t="shared" si="3"/>
        <v>182.733</v>
      </c>
      <c r="N50" s="283">
        <v>0</v>
      </c>
      <c r="O50" s="283">
        <v>0</v>
      </c>
      <c r="P50" s="283">
        <v>0</v>
      </c>
      <c r="Q50" s="284">
        <v>0</v>
      </c>
      <c r="R50" s="285">
        <f t="shared" si="4"/>
        <v>0</v>
      </c>
      <c r="S50" s="285">
        <v>0</v>
      </c>
      <c r="T50" s="286">
        <f t="shared" si="7"/>
        <v>182.733</v>
      </c>
      <c r="U50" s="285"/>
      <c r="V50" s="286">
        <f t="shared" si="5"/>
        <v>182.733</v>
      </c>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row>
    <row r="51" spans="1:48" ht="15.75">
      <c r="A51" s="278">
        <v>38</v>
      </c>
      <c r="B51" s="407" t="s">
        <v>157</v>
      </c>
      <c r="C51" s="407"/>
      <c r="D51" s="279">
        <v>45</v>
      </c>
      <c r="E51" s="279">
        <v>3</v>
      </c>
      <c r="F51" s="279">
        <v>2</v>
      </c>
      <c r="G51" s="279">
        <f t="shared" si="1"/>
        <v>50</v>
      </c>
      <c r="H51" s="279">
        <v>50</v>
      </c>
      <c r="I51" s="280">
        <f t="shared" si="2"/>
        <v>100</v>
      </c>
      <c r="J51" s="281">
        <v>5</v>
      </c>
      <c r="K51" s="281">
        <v>3</v>
      </c>
      <c r="L51" s="281">
        <v>70</v>
      </c>
      <c r="M51" s="282">
        <f t="shared" si="3"/>
        <v>78</v>
      </c>
      <c r="N51" s="283">
        <v>15</v>
      </c>
      <c r="O51" s="283">
        <v>15</v>
      </c>
      <c r="P51" s="283">
        <v>0</v>
      </c>
      <c r="Q51" s="284">
        <v>0</v>
      </c>
      <c r="R51" s="285">
        <f t="shared" si="4"/>
        <v>30</v>
      </c>
      <c r="S51" s="285">
        <v>25</v>
      </c>
      <c r="T51" s="286">
        <f t="shared" si="7"/>
        <v>233</v>
      </c>
      <c r="U51" s="285"/>
      <c r="V51" s="286">
        <f t="shared" si="5"/>
        <v>233</v>
      </c>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row>
    <row r="52" spans="1:48" ht="15.75">
      <c r="A52" s="278">
        <v>39</v>
      </c>
      <c r="B52" s="407" t="s">
        <v>158</v>
      </c>
      <c r="C52" s="407"/>
      <c r="D52" s="279">
        <v>10</v>
      </c>
      <c r="E52" s="279">
        <v>4.5</v>
      </c>
      <c r="F52" s="279">
        <v>0</v>
      </c>
      <c r="G52" s="279">
        <f t="shared" si="1"/>
        <v>14.5</v>
      </c>
      <c r="H52" s="279">
        <v>41.3</v>
      </c>
      <c r="I52" s="280">
        <f t="shared" si="2"/>
        <v>55.8</v>
      </c>
      <c r="J52" s="281">
        <v>3.2</v>
      </c>
      <c r="K52" s="281">
        <v>5.4</v>
      </c>
      <c r="L52" s="281">
        <v>40.6</v>
      </c>
      <c r="M52" s="282">
        <f t="shared" si="3"/>
        <v>49.2</v>
      </c>
      <c r="N52" s="283">
        <v>0</v>
      </c>
      <c r="O52" s="283">
        <v>0</v>
      </c>
      <c r="P52" s="283">
        <v>40</v>
      </c>
      <c r="Q52" s="284">
        <v>0</v>
      </c>
      <c r="R52" s="285">
        <f t="shared" si="4"/>
        <v>40</v>
      </c>
      <c r="S52" s="285">
        <v>0</v>
      </c>
      <c r="T52" s="286">
        <f t="shared" si="7"/>
        <v>145</v>
      </c>
      <c r="U52" s="285"/>
      <c r="V52" s="286">
        <f t="shared" si="5"/>
        <v>145</v>
      </c>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row>
    <row r="53" spans="1:48" ht="15.75">
      <c r="A53" s="278">
        <v>40</v>
      </c>
      <c r="B53" s="407" t="s">
        <v>159</v>
      </c>
      <c r="C53" s="407"/>
      <c r="D53" s="279">
        <v>32</v>
      </c>
      <c r="E53" s="279">
        <v>3</v>
      </c>
      <c r="F53" s="279">
        <v>1</v>
      </c>
      <c r="G53" s="279">
        <f t="shared" si="1"/>
        <v>36</v>
      </c>
      <c r="H53" s="279">
        <v>30</v>
      </c>
      <c r="I53" s="280">
        <f t="shared" si="2"/>
        <v>66</v>
      </c>
      <c r="J53" s="281">
        <v>5.705</v>
      </c>
      <c r="K53" s="281">
        <v>2.568</v>
      </c>
      <c r="L53" s="281">
        <v>65.727</v>
      </c>
      <c r="M53" s="282">
        <f t="shared" si="3"/>
        <v>74</v>
      </c>
      <c r="N53" s="283">
        <v>45</v>
      </c>
      <c r="O53" s="283">
        <v>75</v>
      </c>
      <c r="P53" s="283">
        <v>0</v>
      </c>
      <c r="Q53" s="284">
        <v>160</v>
      </c>
      <c r="R53" s="285">
        <f t="shared" si="4"/>
        <v>280</v>
      </c>
      <c r="S53" s="285">
        <v>20</v>
      </c>
      <c r="T53" s="286">
        <f t="shared" si="7"/>
        <v>440</v>
      </c>
      <c r="U53" s="285"/>
      <c r="V53" s="286">
        <f t="shared" si="5"/>
        <v>440</v>
      </c>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row>
    <row r="54" spans="1:48" ht="15.75">
      <c r="A54" s="278">
        <v>41</v>
      </c>
      <c r="B54" s="407" t="s">
        <v>160</v>
      </c>
      <c r="C54" s="407"/>
      <c r="D54" s="279">
        <v>48.2</v>
      </c>
      <c r="E54" s="279">
        <v>5.6</v>
      </c>
      <c r="F54" s="279">
        <v>2.9</v>
      </c>
      <c r="G54" s="279">
        <f t="shared" si="1"/>
        <v>56.7</v>
      </c>
      <c r="H54" s="279">
        <v>45</v>
      </c>
      <c r="I54" s="280">
        <f t="shared" si="2"/>
        <v>101.7</v>
      </c>
      <c r="J54" s="281">
        <v>5.7</v>
      </c>
      <c r="K54" s="281">
        <v>7</v>
      </c>
      <c r="L54" s="281">
        <v>100</v>
      </c>
      <c r="M54" s="282">
        <f t="shared" si="3"/>
        <v>112.7</v>
      </c>
      <c r="N54" s="283">
        <v>0</v>
      </c>
      <c r="O54" s="283">
        <v>0</v>
      </c>
      <c r="P54" s="283">
        <v>0</v>
      </c>
      <c r="Q54" s="284">
        <v>0</v>
      </c>
      <c r="R54" s="285">
        <f t="shared" si="4"/>
        <v>0</v>
      </c>
      <c r="S54" s="285">
        <v>50</v>
      </c>
      <c r="T54" s="286">
        <f t="shared" si="7"/>
        <v>264.4</v>
      </c>
      <c r="U54" s="285"/>
      <c r="V54" s="286">
        <f t="shared" si="5"/>
        <v>264.4</v>
      </c>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row>
    <row r="55" spans="1:48" ht="15.75">
      <c r="A55" s="278">
        <v>42</v>
      </c>
      <c r="B55" s="407" t="s">
        <v>161</v>
      </c>
      <c r="C55" s="407"/>
      <c r="D55" s="279">
        <v>75.6</v>
      </c>
      <c r="E55" s="279">
        <v>7</v>
      </c>
      <c r="F55" s="279">
        <v>4.9</v>
      </c>
      <c r="G55" s="279">
        <f t="shared" si="1"/>
        <v>87.5</v>
      </c>
      <c r="H55" s="279">
        <v>17.5</v>
      </c>
      <c r="I55" s="280">
        <f t="shared" si="2"/>
        <v>105</v>
      </c>
      <c r="J55" s="281">
        <v>11.5</v>
      </c>
      <c r="K55" s="281">
        <v>8.5</v>
      </c>
      <c r="L55" s="281">
        <v>127.4</v>
      </c>
      <c r="M55" s="282">
        <f t="shared" si="3"/>
        <v>147.4</v>
      </c>
      <c r="N55" s="283">
        <v>50</v>
      </c>
      <c r="O55" s="283">
        <v>0</v>
      </c>
      <c r="P55" s="283">
        <v>30</v>
      </c>
      <c r="Q55" s="284">
        <v>0</v>
      </c>
      <c r="R55" s="285">
        <f t="shared" si="4"/>
        <v>80</v>
      </c>
      <c r="S55" s="285">
        <v>30</v>
      </c>
      <c r="T55" s="286">
        <f>S55+R55+M55+I55</f>
        <v>362.4</v>
      </c>
      <c r="U55" s="285"/>
      <c r="V55" s="286">
        <f t="shared" si="5"/>
        <v>362.4</v>
      </c>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row>
    <row r="56" spans="1:48" ht="15.75">
      <c r="A56" s="278">
        <v>43</v>
      </c>
      <c r="B56" s="407" t="s">
        <v>162</v>
      </c>
      <c r="C56" s="407"/>
      <c r="D56" s="279">
        <v>40</v>
      </c>
      <c r="E56" s="279">
        <v>3</v>
      </c>
      <c r="F56" s="279">
        <v>2.5</v>
      </c>
      <c r="G56" s="279">
        <f t="shared" si="1"/>
        <v>45.5</v>
      </c>
      <c r="H56" s="279">
        <v>25</v>
      </c>
      <c r="I56" s="280">
        <f t="shared" si="2"/>
        <v>70.5</v>
      </c>
      <c r="J56" s="281">
        <v>4.1</v>
      </c>
      <c r="K56" s="281">
        <v>2.5</v>
      </c>
      <c r="L56" s="281">
        <v>44.9</v>
      </c>
      <c r="M56" s="282">
        <f t="shared" si="3"/>
        <v>51.5</v>
      </c>
      <c r="N56" s="283">
        <v>30</v>
      </c>
      <c r="O56" s="283">
        <v>25</v>
      </c>
      <c r="P56" s="283">
        <v>0</v>
      </c>
      <c r="Q56" s="284">
        <v>0</v>
      </c>
      <c r="R56" s="285">
        <f t="shared" si="4"/>
        <v>55</v>
      </c>
      <c r="S56" s="285">
        <v>22</v>
      </c>
      <c r="T56" s="286">
        <f t="shared" si="7"/>
        <v>199</v>
      </c>
      <c r="U56" s="285"/>
      <c r="V56" s="286">
        <f t="shared" si="5"/>
        <v>199</v>
      </c>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row>
    <row r="57" spans="1:48" ht="15.75">
      <c r="A57" s="278">
        <v>44</v>
      </c>
      <c r="B57" s="407" t="s">
        <v>163</v>
      </c>
      <c r="C57" s="407"/>
      <c r="D57" s="279">
        <v>0</v>
      </c>
      <c r="E57" s="279">
        <v>0</v>
      </c>
      <c r="F57" s="279">
        <v>0</v>
      </c>
      <c r="G57" s="279">
        <f>D57+E57+F57</f>
        <v>0</v>
      </c>
      <c r="H57" s="279">
        <v>0</v>
      </c>
      <c r="I57" s="280">
        <f t="shared" si="2"/>
        <v>0</v>
      </c>
      <c r="J57" s="281">
        <v>2</v>
      </c>
      <c r="K57" s="281">
        <v>2</v>
      </c>
      <c r="L57" s="281">
        <v>20</v>
      </c>
      <c r="M57" s="282">
        <f t="shared" si="3"/>
        <v>24</v>
      </c>
      <c r="N57" s="283">
        <v>0</v>
      </c>
      <c r="O57" s="283">
        <v>0</v>
      </c>
      <c r="P57" s="283">
        <v>0</v>
      </c>
      <c r="Q57" s="284">
        <v>0</v>
      </c>
      <c r="R57" s="285">
        <f t="shared" si="4"/>
        <v>0</v>
      </c>
      <c r="S57" s="285">
        <v>0</v>
      </c>
      <c r="T57" s="286">
        <f t="shared" si="7"/>
        <v>24</v>
      </c>
      <c r="U57" s="285"/>
      <c r="V57" s="286">
        <f t="shared" si="5"/>
        <v>24</v>
      </c>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row>
    <row r="58" spans="1:48" ht="15.75">
      <c r="A58" s="278">
        <v>45</v>
      </c>
      <c r="B58" s="407" t="s">
        <v>164</v>
      </c>
      <c r="C58" s="407"/>
      <c r="D58" s="279">
        <v>1</v>
      </c>
      <c r="E58" s="279">
        <v>2.5</v>
      </c>
      <c r="F58" s="279">
        <v>1.5</v>
      </c>
      <c r="G58" s="279">
        <f t="shared" si="1"/>
        <v>5</v>
      </c>
      <c r="H58" s="279">
        <v>8</v>
      </c>
      <c r="I58" s="280">
        <f t="shared" si="2"/>
        <v>13</v>
      </c>
      <c r="J58" s="281">
        <v>3.283</v>
      </c>
      <c r="K58" s="281">
        <v>2.5</v>
      </c>
      <c r="L58" s="281">
        <v>31</v>
      </c>
      <c r="M58" s="282">
        <f t="shared" si="3"/>
        <v>36.783</v>
      </c>
      <c r="N58" s="283">
        <v>90</v>
      </c>
      <c r="O58" s="283">
        <v>180</v>
      </c>
      <c r="P58" s="283">
        <v>0</v>
      </c>
      <c r="Q58" s="284">
        <v>0</v>
      </c>
      <c r="R58" s="285">
        <f t="shared" si="4"/>
        <v>270</v>
      </c>
      <c r="S58" s="285">
        <v>0</v>
      </c>
      <c r="T58" s="286">
        <f t="shared" si="7"/>
        <v>319.783</v>
      </c>
      <c r="U58" s="285"/>
      <c r="V58" s="286">
        <f t="shared" si="5"/>
        <v>319.783</v>
      </c>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row>
    <row r="59" spans="1:48" s="242" customFormat="1" ht="15.75">
      <c r="A59" s="410" t="s">
        <v>165</v>
      </c>
      <c r="B59" s="410"/>
      <c r="C59" s="410"/>
      <c r="D59" s="289">
        <f>SUM(D42:D58)</f>
        <v>305.79999999999995</v>
      </c>
      <c r="E59" s="289">
        <f aca="true" t="shared" si="8" ref="E59:V59">SUM(E42:E58)</f>
        <v>51.5</v>
      </c>
      <c r="F59" s="289">
        <f t="shared" si="8"/>
        <v>30.6</v>
      </c>
      <c r="G59" s="289">
        <f t="shared" si="8"/>
        <v>387.9</v>
      </c>
      <c r="H59" s="289">
        <f t="shared" si="8"/>
        <v>306.8</v>
      </c>
      <c r="I59" s="290">
        <f t="shared" si="8"/>
        <v>694.7</v>
      </c>
      <c r="J59" s="289">
        <f t="shared" si="8"/>
        <v>79.788</v>
      </c>
      <c r="K59" s="289">
        <f t="shared" si="8"/>
        <v>58.903999999999996</v>
      </c>
      <c r="L59" s="289">
        <f t="shared" si="8"/>
        <v>1050.406</v>
      </c>
      <c r="M59" s="290">
        <f t="shared" si="8"/>
        <v>1189.098</v>
      </c>
      <c r="N59" s="289">
        <f t="shared" si="8"/>
        <v>330</v>
      </c>
      <c r="O59" s="289">
        <f t="shared" si="8"/>
        <v>385</v>
      </c>
      <c r="P59" s="289">
        <f t="shared" si="8"/>
        <v>170</v>
      </c>
      <c r="Q59" s="289">
        <f t="shared" si="8"/>
        <v>160</v>
      </c>
      <c r="R59" s="290">
        <f t="shared" si="8"/>
        <v>1045</v>
      </c>
      <c r="S59" s="290">
        <f t="shared" si="8"/>
        <v>257</v>
      </c>
      <c r="T59" s="289">
        <f t="shared" si="8"/>
        <v>3185.798</v>
      </c>
      <c r="U59" s="290">
        <f t="shared" si="8"/>
        <v>0</v>
      </c>
      <c r="V59" s="289">
        <f t="shared" si="8"/>
        <v>3185.798</v>
      </c>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row>
    <row r="60" spans="1:48" s="242" customFormat="1" ht="15.75">
      <c r="A60" s="410" t="s">
        <v>113</v>
      </c>
      <c r="B60" s="410"/>
      <c r="C60" s="410"/>
      <c r="D60" s="289">
        <f>D59+D41</f>
        <v>1957.0700000000002</v>
      </c>
      <c r="E60" s="289">
        <f aca="true" t="shared" si="9" ref="E60:V60">E59+E41</f>
        <v>470.79999999999995</v>
      </c>
      <c r="F60" s="289">
        <f t="shared" si="9"/>
        <v>199.8</v>
      </c>
      <c r="G60" s="289">
        <f t="shared" si="9"/>
        <v>2627.6699999999996</v>
      </c>
      <c r="H60" s="289">
        <f t="shared" si="9"/>
        <v>1556.5</v>
      </c>
      <c r="I60" s="290">
        <f t="shared" si="9"/>
        <v>4184.169999999999</v>
      </c>
      <c r="J60" s="289">
        <f t="shared" si="9"/>
        <v>626.479</v>
      </c>
      <c r="K60" s="289">
        <f t="shared" si="9"/>
        <v>869.735</v>
      </c>
      <c r="L60" s="289">
        <f t="shared" si="9"/>
        <v>6844.328000000001</v>
      </c>
      <c r="M60" s="290">
        <f t="shared" si="9"/>
        <v>8340.542000000001</v>
      </c>
      <c r="N60" s="289">
        <f t="shared" si="9"/>
        <v>5213</v>
      </c>
      <c r="O60" s="289">
        <f t="shared" si="9"/>
        <v>2823.8</v>
      </c>
      <c r="P60" s="289">
        <f t="shared" si="9"/>
        <v>3802.9</v>
      </c>
      <c r="Q60" s="289">
        <f t="shared" si="9"/>
        <v>746</v>
      </c>
      <c r="R60" s="290">
        <f t="shared" si="9"/>
        <v>12585.7</v>
      </c>
      <c r="S60" s="290">
        <f t="shared" si="9"/>
        <v>2312.2</v>
      </c>
      <c r="T60" s="289">
        <f t="shared" si="9"/>
        <v>27422.611999999997</v>
      </c>
      <c r="U60" s="290">
        <f t="shared" si="9"/>
        <v>250</v>
      </c>
      <c r="V60" s="289">
        <f t="shared" si="9"/>
        <v>27672.611999999997</v>
      </c>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row>
    <row r="61" spans="1:48" ht="12.75">
      <c r="A61" s="240"/>
      <c r="B61" s="240"/>
      <c r="C61" s="240"/>
      <c r="D61" s="263"/>
      <c r="E61" s="263"/>
      <c r="F61" s="263"/>
      <c r="G61" s="263"/>
      <c r="H61" s="263"/>
      <c r="I61" s="272"/>
      <c r="J61" s="264"/>
      <c r="K61" s="264"/>
      <c r="L61" s="264"/>
      <c r="M61" s="275"/>
      <c r="N61" s="261"/>
      <c r="O61" s="261"/>
      <c r="P61" s="261"/>
      <c r="Q61" s="261"/>
      <c r="R61" s="277"/>
      <c r="S61" s="261"/>
      <c r="T61" s="261"/>
      <c r="U61" s="261"/>
      <c r="V61" s="262"/>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row>
    <row r="62" spans="1:48" ht="12.75">
      <c r="A62" s="240"/>
      <c r="B62" s="240"/>
      <c r="C62" s="240"/>
      <c r="D62" s="263"/>
      <c r="E62" s="263"/>
      <c r="F62" s="263"/>
      <c r="G62" s="263"/>
      <c r="H62" s="263"/>
      <c r="I62" s="272"/>
      <c r="J62" s="264"/>
      <c r="K62" s="264"/>
      <c r="L62" s="264"/>
      <c r="M62" s="275"/>
      <c r="N62" s="261"/>
      <c r="O62" s="261"/>
      <c r="P62" s="261"/>
      <c r="Q62" s="261"/>
      <c r="R62" s="277"/>
      <c r="S62" s="261"/>
      <c r="T62" s="261"/>
      <c r="U62" s="261"/>
      <c r="V62" s="262"/>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row>
    <row r="63" spans="4:48" ht="12.75">
      <c r="D63" s="263"/>
      <c r="E63" s="263"/>
      <c r="F63" s="263"/>
      <c r="G63" s="263"/>
      <c r="H63" s="263"/>
      <c r="I63" s="272"/>
      <c r="J63" s="264"/>
      <c r="K63" s="264"/>
      <c r="L63" s="264"/>
      <c r="M63" s="275"/>
      <c r="N63" s="261"/>
      <c r="O63" s="261"/>
      <c r="P63" s="261"/>
      <c r="Q63" s="261"/>
      <c r="R63" s="277"/>
      <c r="S63" s="261"/>
      <c r="T63" s="261"/>
      <c r="U63" s="261"/>
      <c r="V63" s="262"/>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row>
    <row r="64" spans="3:48" ht="12.75">
      <c r="C64" s="239"/>
      <c r="D64" s="265"/>
      <c r="E64" s="265"/>
      <c r="F64" s="265"/>
      <c r="G64" s="265"/>
      <c r="H64" s="265"/>
      <c r="I64" s="273"/>
      <c r="J64" s="266"/>
      <c r="K64" s="264"/>
      <c r="L64" s="264"/>
      <c r="M64" s="275"/>
      <c r="N64" s="261"/>
      <c r="O64" s="261"/>
      <c r="P64" s="261"/>
      <c r="Q64" s="261"/>
      <c r="R64" s="277"/>
      <c r="S64" s="261"/>
      <c r="T64" s="261"/>
      <c r="U64" s="261"/>
      <c r="V64" s="262"/>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row>
    <row r="65" spans="3:48" ht="12.75">
      <c r="C65" s="239"/>
      <c r="D65" s="265"/>
      <c r="E65" s="265"/>
      <c r="F65" s="265"/>
      <c r="G65" s="265"/>
      <c r="H65" s="265"/>
      <c r="I65" s="273"/>
      <c r="J65" s="266"/>
      <c r="K65" s="264"/>
      <c r="L65" s="264"/>
      <c r="M65" s="275"/>
      <c r="N65" s="261"/>
      <c r="O65" s="261"/>
      <c r="P65" s="261"/>
      <c r="Q65" s="261"/>
      <c r="R65" s="277"/>
      <c r="S65" s="261"/>
      <c r="T65" s="261"/>
      <c r="U65" s="261"/>
      <c r="V65" s="262"/>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row>
    <row r="66" spans="4:48" ht="12.75">
      <c r="D66" s="263"/>
      <c r="E66" s="263"/>
      <c r="F66" s="263"/>
      <c r="G66" s="263"/>
      <c r="H66" s="263"/>
      <c r="I66" s="272"/>
      <c r="J66" s="264"/>
      <c r="K66" s="264"/>
      <c r="L66" s="264"/>
      <c r="M66" s="275"/>
      <c r="N66" s="261"/>
      <c r="O66" s="261"/>
      <c r="P66" s="261"/>
      <c r="Q66" s="261"/>
      <c r="R66" s="277"/>
      <c r="S66" s="261"/>
      <c r="T66" s="261"/>
      <c r="U66" s="261"/>
      <c r="V66" s="262"/>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row>
    <row r="67" spans="4:48" ht="12.75">
      <c r="D67" s="263"/>
      <c r="E67" s="263"/>
      <c r="F67" s="263"/>
      <c r="G67" s="263"/>
      <c r="H67" s="263"/>
      <c r="I67" s="272"/>
      <c r="J67" s="264"/>
      <c r="K67" s="264"/>
      <c r="L67" s="264"/>
      <c r="M67" s="275"/>
      <c r="N67" s="261"/>
      <c r="O67" s="261"/>
      <c r="P67" s="261"/>
      <c r="Q67" s="261"/>
      <c r="R67" s="277"/>
      <c r="S67" s="261"/>
      <c r="T67" s="261"/>
      <c r="U67" s="261"/>
      <c r="V67" s="262"/>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row>
    <row r="68" spans="4:48" ht="12.75">
      <c r="D68" s="263"/>
      <c r="E68" s="263"/>
      <c r="F68" s="263"/>
      <c r="G68" s="263"/>
      <c r="H68" s="263"/>
      <c r="I68" s="272"/>
      <c r="J68" s="264"/>
      <c r="K68" s="264"/>
      <c r="L68" s="264"/>
      <c r="M68" s="275"/>
      <c r="N68" s="261"/>
      <c r="O68" s="261"/>
      <c r="P68" s="261"/>
      <c r="Q68" s="261"/>
      <c r="R68" s="277"/>
      <c r="S68" s="261"/>
      <c r="T68" s="261"/>
      <c r="U68" s="261"/>
      <c r="V68" s="262"/>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row>
    <row r="69" spans="4:48" ht="12.75">
      <c r="D69" s="263"/>
      <c r="E69" s="263"/>
      <c r="F69" s="263"/>
      <c r="G69" s="263"/>
      <c r="H69" s="263"/>
      <c r="I69" s="272"/>
      <c r="J69" s="264"/>
      <c r="K69" s="264"/>
      <c r="L69" s="264"/>
      <c r="M69" s="275"/>
      <c r="N69" s="261"/>
      <c r="O69" s="261"/>
      <c r="P69" s="261"/>
      <c r="Q69" s="261"/>
      <c r="R69" s="277"/>
      <c r="S69" s="261"/>
      <c r="T69" s="261"/>
      <c r="U69" s="261"/>
      <c r="V69" s="262"/>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1"/>
      <c r="AU69" s="261"/>
      <c r="AV69" s="261"/>
    </row>
    <row r="70" spans="4:48" ht="12.75">
      <c r="D70" s="263"/>
      <c r="E70" s="263"/>
      <c r="F70" s="263"/>
      <c r="G70" s="263"/>
      <c r="H70" s="263"/>
      <c r="I70" s="272"/>
      <c r="J70" s="264"/>
      <c r="K70" s="264"/>
      <c r="L70" s="264"/>
      <c r="M70" s="275"/>
      <c r="N70" s="261"/>
      <c r="O70" s="261"/>
      <c r="P70" s="261"/>
      <c r="Q70" s="261"/>
      <c r="R70" s="277"/>
      <c r="S70" s="261"/>
      <c r="T70" s="261"/>
      <c r="U70" s="261"/>
      <c r="V70" s="262"/>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row>
    <row r="71" spans="4:48" ht="12.75">
      <c r="D71" s="263"/>
      <c r="E71" s="263"/>
      <c r="F71" s="263"/>
      <c r="G71" s="263"/>
      <c r="H71" s="263"/>
      <c r="I71" s="272"/>
      <c r="J71" s="264"/>
      <c r="K71" s="264"/>
      <c r="L71" s="264"/>
      <c r="M71" s="275"/>
      <c r="N71" s="261"/>
      <c r="O71" s="261"/>
      <c r="P71" s="261"/>
      <c r="Q71" s="261"/>
      <c r="R71" s="277"/>
      <c r="S71" s="261"/>
      <c r="T71" s="261"/>
      <c r="U71" s="261"/>
      <c r="V71" s="262"/>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261"/>
    </row>
    <row r="72" spans="4:48" ht="12.75">
      <c r="D72" s="263"/>
      <c r="E72" s="263"/>
      <c r="F72" s="263"/>
      <c r="G72" s="263"/>
      <c r="H72" s="263"/>
      <c r="I72" s="272"/>
      <c r="J72" s="264"/>
      <c r="K72" s="264"/>
      <c r="L72" s="264"/>
      <c r="M72" s="275"/>
      <c r="N72" s="261"/>
      <c r="O72" s="261"/>
      <c r="P72" s="261"/>
      <c r="Q72" s="261"/>
      <c r="R72" s="277"/>
      <c r="S72" s="261"/>
      <c r="T72" s="261"/>
      <c r="U72" s="261"/>
      <c r="V72" s="262"/>
      <c r="W72" s="261"/>
      <c r="X72" s="261"/>
      <c r="Y72" s="261"/>
      <c r="Z72" s="261"/>
      <c r="AA72" s="261"/>
      <c r="AB72" s="261"/>
      <c r="AC72" s="261"/>
      <c r="AD72" s="261"/>
      <c r="AE72" s="261"/>
      <c r="AF72" s="261"/>
      <c r="AG72" s="261"/>
      <c r="AH72" s="261"/>
      <c r="AI72" s="261"/>
      <c r="AJ72" s="261"/>
      <c r="AK72" s="261"/>
      <c r="AL72" s="261"/>
      <c r="AM72" s="261"/>
      <c r="AN72" s="261"/>
      <c r="AO72" s="261"/>
      <c r="AP72" s="261"/>
      <c r="AQ72" s="261"/>
      <c r="AR72" s="261"/>
      <c r="AS72" s="261"/>
      <c r="AT72" s="261"/>
      <c r="AU72" s="261"/>
      <c r="AV72" s="261"/>
    </row>
    <row r="73" spans="4:48" ht="12.75">
      <c r="D73" s="263"/>
      <c r="E73" s="263"/>
      <c r="F73" s="263"/>
      <c r="G73" s="263"/>
      <c r="H73" s="263"/>
      <c r="I73" s="272"/>
      <c r="J73" s="264"/>
      <c r="K73" s="264"/>
      <c r="L73" s="264"/>
      <c r="M73" s="275"/>
      <c r="N73" s="261"/>
      <c r="O73" s="261"/>
      <c r="P73" s="261"/>
      <c r="Q73" s="261"/>
      <c r="R73" s="277"/>
      <c r="S73" s="261"/>
      <c r="T73" s="261"/>
      <c r="U73" s="261"/>
      <c r="V73" s="262"/>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61"/>
    </row>
    <row r="74" spans="4:48" ht="12.75">
      <c r="D74" s="263"/>
      <c r="E74" s="263"/>
      <c r="F74" s="263"/>
      <c r="G74" s="263"/>
      <c r="H74" s="263"/>
      <c r="I74" s="272"/>
      <c r="J74" s="264"/>
      <c r="K74" s="264"/>
      <c r="L74" s="264"/>
      <c r="M74" s="275"/>
      <c r="N74" s="261"/>
      <c r="O74" s="261"/>
      <c r="P74" s="261"/>
      <c r="Q74" s="261"/>
      <c r="R74" s="277"/>
      <c r="S74" s="261"/>
      <c r="T74" s="261"/>
      <c r="U74" s="261"/>
      <c r="V74" s="262"/>
      <c r="W74" s="261"/>
      <c r="X74" s="261"/>
      <c r="Y74" s="261"/>
      <c r="Z74" s="261"/>
      <c r="AA74" s="261"/>
      <c r="AB74" s="261"/>
      <c r="AC74" s="261"/>
      <c r="AD74" s="261"/>
      <c r="AE74" s="261"/>
      <c r="AF74" s="261"/>
      <c r="AG74" s="261"/>
      <c r="AH74" s="261"/>
      <c r="AI74" s="261"/>
      <c r="AJ74" s="261"/>
      <c r="AK74" s="261"/>
      <c r="AL74" s="261"/>
      <c r="AM74" s="261"/>
      <c r="AN74" s="261"/>
      <c r="AO74" s="261"/>
      <c r="AP74" s="261"/>
      <c r="AQ74" s="261"/>
      <c r="AR74" s="261"/>
      <c r="AS74" s="261"/>
      <c r="AT74" s="261"/>
      <c r="AU74" s="261"/>
      <c r="AV74" s="261"/>
    </row>
    <row r="75" spans="4:48" ht="12.75">
      <c r="D75" s="263"/>
      <c r="E75" s="263"/>
      <c r="F75" s="263"/>
      <c r="G75" s="263"/>
      <c r="H75" s="263"/>
      <c r="I75" s="272"/>
      <c r="J75" s="264"/>
      <c r="K75" s="264"/>
      <c r="L75" s="264"/>
      <c r="M75" s="275"/>
      <c r="N75" s="261"/>
      <c r="O75" s="261"/>
      <c r="P75" s="261"/>
      <c r="Q75" s="261"/>
      <c r="R75" s="277"/>
      <c r="S75" s="261"/>
      <c r="T75" s="261"/>
      <c r="U75" s="261"/>
      <c r="V75" s="262"/>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row>
    <row r="76" spans="4:48" ht="12.75">
      <c r="D76" s="263"/>
      <c r="E76" s="263"/>
      <c r="F76" s="263"/>
      <c r="G76" s="263"/>
      <c r="H76" s="263"/>
      <c r="I76" s="272"/>
      <c r="J76" s="264"/>
      <c r="K76" s="264"/>
      <c r="L76" s="264"/>
      <c r="M76" s="275"/>
      <c r="N76" s="261"/>
      <c r="O76" s="261"/>
      <c r="P76" s="261"/>
      <c r="Q76" s="261"/>
      <c r="R76" s="277"/>
      <c r="S76" s="261"/>
      <c r="T76" s="261"/>
      <c r="U76" s="261"/>
      <c r="V76" s="262"/>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c r="AT76" s="261"/>
      <c r="AU76" s="261"/>
      <c r="AV76" s="261"/>
    </row>
    <row r="77" spans="4:48" ht="12.75">
      <c r="D77" s="263"/>
      <c r="E77" s="263"/>
      <c r="F77" s="263"/>
      <c r="G77" s="263"/>
      <c r="H77" s="263"/>
      <c r="I77" s="272"/>
      <c r="J77" s="264"/>
      <c r="K77" s="264"/>
      <c r="L77" s="264"/>
      <c r="M77" s="275"/>
      <c r="N77" s="261"/>
      <c r="O77" s="261"/>
      <c r="P77" s="261"/>
      <c r="Q77" s="261"/>
      <c r="R77" s="277"/>
      <c r="S77" s="261"/>
      <c r="T77" s="261"/>
      <c r="U77" s="261"/>
      <c r="V77" s="262"/>
      <c r="W77" s="261"/>
      <c r="X77" s="261"/>
      <c r="Y77" s="261"/>
      <c r="Z77" s="261"/>
      <c r="AA77" s="261"/>
      <c r="AB77" s="261"/>
      <c r="AC77" s="261"/>
      <c r="AD77" s="261"/>
      <c r="AE77" s="261"/>
      <c r="AF77" s="261"/>
      <c r="AG77" s="261"/>
      <c r="AH77" s="261"/>
      <c r="AI77" s="261"/>
      <c r="AJ77" s="261"/>
      <c r="AK77" s="261"/>
      <c r="AL77" s="261"/>
      <c r="AM77" s="261"/>
      <c r="AN77" s="261"/>
      <c r="AO77" s="261"/>
      <c r="AP77" s="261"/>
      <c r="AQ77" s="261"/>
      <c r="AR77" s="261"/>
      <c r="AS77" s="261"/>
      <c r="AT77" s="261"/>
      <c r="AU77" s="261"/>
      <c r="AV77" s="261"/>
    </row>
    <row r="78" spans="4:48" ht="12.75">
      <c r="D78" s="263"/>
      <c r="E78" s="263"/>
      <c r="F78" s="263"/>
      <c r="G78" s="263"/>
      <c r="H78" s="263"/>
      <c r="I78" s="272"/>
      <c r="J78" s="264"/>
      <c r="K78" s="264"/>
      <c r="L78" s="264"/>
      <c r="M78" s="275"/>
      <c r="N78" s="261"/>
      <c r="O78" s="261"/>
      <c r="P78" s="261"/>
      <c r="Q78" s="261"/>
      <c r="R78" s="277"/>
      <c r="S78" s="261"/>
      <c r="T78" s="261"/>
      <c r="U78" s="261"/>
      <c r="V78" s="262"/>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row>
    <row r="79" spans="4:48" ht="12.75">
      <c r="D79" s="263"/>
      <c r="E79" s="263"/>
      <c r="F79" s="263"/>
      <c r="G79" s="263"/>
      <c r="H79" s="263"/>
      <c r="I79" s="272"/>
      <c r="J79" s="264"/>
      <c r="K79" s="264"/>
      <c r="L79" s="264"/>
      <c r="M79" s="275"/>
      <c r="N79" s="261"/>
      <c r="O79" s="261"/>
      <c r="P79" s="261"/>
      <c r="Q79" s="261"/>
      <c r="R79" s="277"/>
      <c r="S79" s="261"/>
      <c r="T79" s="261"/>
      <c r="U79" s="261"/>
      <c r="V79" s="262"/>
      <c r="W79" s="261"/>
      <c r="X79" s="261"/>
      <c r="Y79" s="261"/>
      <c r="Z79" s="261"/>
      <c r="AA79" s="261"/>
      <c r="AB79" s="261"/>
      <c r="AC79" s="261"/>
      <c r="AD79" s="261"/>
      <c r="AE79" s="261"/>
      <c r="AF79" s="261"/>
      <c r="AG79" s="261"/>
      <c r="AH79" s="261"/>
      <c r="AI79" s="261"/>
      <c r="AJ79" s="261"/>
      <c r="AK79" s="261"/>
      <c r="AL79" s="261"/>
      <c r="AM79" s="261"/>
      <c r="AN79" s="261"/>
      <c r="AO79" s="261"/>
      <c r="AP79" s="261"/>
      <c r="AQ79" s="261"/>
      <c r="AR79" s="261"/>
      <c r="AS79" s="261"/>
      <c r="AT79" s="261"/>
      <c r="AU79" s="261"/>
      <c r="AV79" s="261"/>
    </row>
    <row r="80" spans="4:48" ht="12.75">
      <c r="D80" s="263"/>
      <c r="E80" s="263"/>
      <c r="F80" s="263"/>
      <c r="G80" s="263"/>
      <c r="H80" s="263"/>
      <c r="I80" s="272"/>
      <c r="J80" s="264"/>
      <c r="K80" s="264"/>
      <c r="L80" s="264"/>
      <c r="M80" s="275"/>
      <c r="N80" s="261"/>
      <c r="O80" s="261"/>
      <c r="P80" s="261"/>
      <c r="Q80" s="261"/>
      <c r="R80" s="277"/>
      <c r="S80" s="261"/>
      <c r="T80" s="261"/>
      <c r="U80" s="261"/>
      <c r="V80" s="262"/>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row>
    <row r="81" spans="4:48" ht="12.75">
      <c r="D81" s="263"/>
      <c r="E81" s="263"/>
      <c r="F81" s="263"/>
      <c r="G81" s="263"/>
      <c r="H81" s="263"/>
      <c r="I81" s="272"/>
      <c r="J81" s="264"/>
      <c r="K81" s="264"/>
      <c r="L81" s="264"/>
      <c r="M81" s="275"/>
      <c r="N81" s="261"/>
      <c r="O81" s="261"/>
      <c r="P81" s="261"/>
      <c r="Q81" s="261"/>
      <c r="R81" s="277"/>
      <c r="S81" s="261"/>
      <c r="T81" s="261"/>
      <c r="U81" s="261"/>
      <c r="V81" s="262"/>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261"/>
      <c r="AU81" s="261"/>
      <c r="AV81" s="261"/>
    </row>
    <row r="82" spans="4:48" ht="12.75">
      <c r="D82" s="263"/>
      <c r="E82" s="263"/>
      <c r="F82" s="263"/>
      <c r="G82" s="263"/>
      <c r="H82" s="263"/>
      <c r="I82" s="272"/>
      <c r="J82" s="264"/>
      <c r="K82" s="264"/>
      <c r="L82" s="264"/>
      <c r="M82" s="275"/>
      <c r="N82" s="261"/>
      <c r="O82" s="261"/>
      <c r="P82" s="261"/>
      <c r="Q82" s="261"/>
      <c r="R82" s="277"/>
      <c r="S82" s="261"/>
      <c r="T82" s="261"/>
      <c r="U82" s="261"/>
      <c r="V82" s="262"/>
      <c r="W82" s="261"/>
      <c r="X82" s="261"/>
      <c r="Y82" s="261"/>
      <c r="Z82" s="261"/>
      <c r="AA82" s="261"/>
      <c r="AB82" s="261"/>
      <c r="AC82" s="261"/>
      <c r="AD82" s="261"/>
      <c r="AE82" s="261"/>
      <c r="AF82" s="261"/>
      <c r="AG82" s="261"/>
      <c r="AH82" s="261"/>
      <c r="AI82" s="261"/>
      <c r="AJ82" s="261"/>
      <c r="AK82" s="261"/>
      <c r="AL82" s="261"/>
      <c r="AM82" s="261"/>
      <c r="AN82" s="261"/>
      <c r="AO82" s="261"/>
      <c r="AP82" s="261"/>
      <c r="AQ82" s="261"/>
      <c r="AR82" s="261"/>
      <c r="AS82" s="261"/>
      <c r="AT82" s="261"/>
      <c r="AU82" s="261"/>
      <c r="AV82" s="261"/>
    </row>
    <row r="83" spans="4:48" ht="12.75">
      <c r="D83" s="263"/>
      <c r="E83" s="263"/>
      <c r="F83" s="263"/>
      <c r="G83" s="263"/>
      <c r="H83" s="263"/>
      <c r="I83" s="272"/>
      <c r="J83" s="264"/>
      <c r="K83" s="264"/>
      <c r="L83" s="264"/>
      <c r="M83" s="275"/>
      <c r="N83" s="261"/>
      <c r="O83" s="261"/>
      <c r="P83" s="261"/>
      <c r="Q83" s="261"/>
      <c r="R83" s="277"/>
      <c r="S83" s="261"/>
      <c r="T83" s="261"/>
      <c r="U83" s="261"/>
      <c r="V83" s="262"/>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261"/>
    </row>
    <row r="84" spans="4:48" ht="12.75">
      <c r="D84" s="263"/>
      <c r="E84" s="263"/>
      <c r="F84" s="263"/>
      <c r="G84" s="263"/>
      <c r="H84" s="263"/>
      <c r="I84" s="272"/>
      <c r="J84" s="264"/>
      <c r="K84" s="264"/>
      <c r="L84" s="264"/>
      <c r="M84" s="275"/>
      <c r="N84" s="261"/>
      <c r="O84" s="261"/>
      <c r="P84" s="261"/>
      <c r="Q84" s="261"/>
      <c r="R84" s="277"/>
      <c r="S84" s="261"/>
      <c r="T84" s="261"/>
      <c r="U84" s="261"/>
      <c r="V84" s="262"/>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1"/>
    </row>
    <row r="85" spans="4:48" ht="12.75">
      <c r="D85" s="263"/>
      <c r="E85" s="263"/>
      <c r="F85" s="263"/>
      <c r="G85" s="263"/>
      <c r="H85" s="263"/>
      <c r="I85" s="272"/>
      <c r="J85" s="264"/>
      <c r="K85" s="264"/>
      <c r="L85" s="264"/>
      <c r="M85" s="275"/>
      <c r="N85" s="261"/>
      <c r="O85" s="261"/>
      <c r="P85" s="261"/>
      <c r="Q85" s="261"/>
      <c r="R85" s="277"/>
      <c r="S85" s="261"/>
      <c r="T85" s="261"/>
      <c r="U85" s="261"/>
      <c r="V85" s="262"/>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row>
    <row r="86" spans="4:48" ht="12.75">
      <c r="D86" s="263"/>
      <c r="E86" s="263"/>
      <c r="F86" s="263"/>
      <c r="G86" s="263"/>
      <c r="H86" s="263"/>
      <c r="I86" s="272"/>
      <c r="J86" s="264"/>
      <c r="K86" s="264"/>
      <c r="L86" s="264"/>
      <c r="M86" s="275"/>
      <c r="N86" s="261"/>
      <c r="O86" s="261"/>
      <c r="P86" s="261"/>
      <c r="Q86" s="261"/>
      <c r="R86" s="277"/>
      <c r="S86" s="261"/>
      <c r="T86" s="261"/>
      <c r="U86" s="261"/>
      <c r="V86" s="262"/>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row>
    <row r="87" spans="4:48" ht="12.75">
      <c r="D87" s="263"/>
      <c r="E87" s="263"/>
      <c r="F87" s="263"/>
      <c r="G87" s="263"/>
      <c r="H87" s="263"/>
      <c r="I87" s="272"/>
      <c r="J87" s="264"/>
      <c r="K87" s="264"/>
      <c r="L87" s="264"/>
      <c r="M87" s="275"/>
      <c r="N87" s="261"/>
      <c r="O87" s="261"/>
      <c r="P87" s="261"/>
      <c r="Q87" s="261"/>
      <c r="R87" s="277"/>
      <c r="S87" s="261"/>
      <c r="T87" s="261"/>
      <c r="U87" s="261"/>
      <c r="V87" s="262"/>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row>
    <row r="88" spans="4:48" ht="12.75">
      <c r="D88" s="263"/>
      <c r="E88" s="263"/>
      <c r="F88" s="263"/>
      <c r="G88" s="263"/>
      <c r="H88" s="263"/>
      <c r="I88" s="272"/>
      <c r="J88" s="264"/>
      <c r="K88" s="264"/>
      <c r="L88" s="264"/>
      <c r="M88" s="275"/>
      <c r="N88" s="261"/>
      <c r="O88" s="261"/>
      <c r="P88" s="261"/>
      <c r="Q88" s="261"/>
      <c r="R88" s="277"/>
      <c r="S88" s="261"/>
      <c r="T88" s="261"/>
      <c r="U88" s="261"/>
      <c r="V88" s="262"/>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row>
    <row r="89" spans="4:48" ht="12.75">
      <c r="D89" s="263"/>
      <c r="E89" s="263"/>
      <c r="F89" s="263"/>
      <c r="G89" s="263"/>
      <c r="H89" s="263"/>
      <c r="I89" s="272"/>
      <c r="J89" s="264"/>
      <c r="K89" s="264"/>
      <c r="L89" s="264"/>
      <c r="M89" s="275"/>
      <c r="N89" s="261"/>
      <c r="O89" s="261"/>
      <c r="P89" s="261"/>
      <c r="Q89" s="261"/>
      <c r="R89" s="277"/>
      <c r="S89" s="261"/>
      <c r="T89" s="261"/>
      <c r="U89" s="261"/>
      <c r="V89" s="262"/>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row>
    <row r="90" spans="4:48" ht="12.75">
      <c r="D90" s="263"/>
      <c r="E90" s="263"/>
      <c r="F90" s="263"/>
      <c r="G90" s="263"/>
      <c r="H90" s="263"/>
      <c r="I90" s="272"/>
      <c r="J90" s="264"/>
      <c r="K90" s="264"/>
      <c r="L90" s="264"/>
      <c r="M90" s="275"/>
      <c r="N90" s="261"/>
      <c r="O90" s="261"/>
      <c r="P90" s="261"/>
      <c r="Q90" s="261"/>
      <c r="R90" s="277"/>
      <c r="S90" s="261"/>
      <c r="T90" s="261"/>
      <c r="U90" s="261"/>
      <c r="V90" s="262"/>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row>
    <row r="91" spans="4:48" ht="12.75">
      <c r="D91" s="263"/>
      <c r="E91" s="263"/>
      <c r="F91" s="263"/>
      <c r="G91" s="263"/>
      <c r="H91" s="263"/>
      <c r="I91" s="272"/>
      <c r="J91" s="264"/>
      <c r="K91" s="264"/>
      <c r="L91" s="264"/>
      <c r="M91" s="275"/>
      <c r="N91" s="261"/>
      <c r="O91" s="261"/>
      <c r="P91" s="261"/>
      <c r="Q91" s="261"/>
      <c r="R91" s="277"/>
      <c r="S91" s="261"/>
      <c r="T91" s="261"/>
      <c r="U91" s="261"/>
      <c r="V91" s="262"/>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row>
    <row r="92" spans="4:48" ht="12.75">
      <c r="D92" s="263"/>
      <c r="E92" s="263"/>
      <c r="F92" s="263"/>
      <c r="G92" s="263"/>
      <c r="H92" s="263"/>
      <c r="I92" s="272"/>
      <c r="J92" s="264"/>
      <c r="K92" s="264"/>
      <c r="L92" s="264"/>
      <c r="M92" s="275"/>
      <c r="N92" s="261"/>
      <c r="O92" s="261"/>
      <c r="P92" s="261"/>
      <c r="Q92" s="261"/>
      <c r="R92" s="277"/>
      <c r="S92" s="261"/>
      <c r="T92" s="261"/>
      <c r="U92" s="261"/>
      <c r="V92" s="262"/>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row>
    <row r="93" spans="4:48" ht="12.75">
      <c r="D93" s="263"/>
      <c r="E93" s="263"/>
      <c r="F93" s="263"/>
      <c r="G93" s="263"/>
      <c r="H93" s="263"/>
      <c r="I93" s="272"/>
      <c r="J93" s="264"/>
      <c r="K93" s="264"/>
      <c r="L93" s="264"/>
      <c r="M93" s="275"/>
      <c r="N93" s="261"/>
      <c r="O93" s="261"/>
      <c r="P93" s="261"/>
      <c r="Q93" s="261"/>
      <c r="R93" s="277"/>
      <c r="S93" s="261"/>
      <c r="T93" s="261"/>
      <c r="U93" s="261"/>
      <c r="V93" s="262"/>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row>
    <row r="94" spans="4:48" ht="12.75">
      <c r="D94" s="263"/>
      <c r="E94" s="263"/>
      <c r="F94" s="263"/>
      <c r="G94" s="263"/>
      <c r="H94" s="263"/>
      <c r="I94" s="272"/>
      <c r="J94" s="264"/>
      <c r="K94" s="264"/>
      <c r="L94" s="264"/>
      <c r="M94" s="275"/>
      <c r="N94" s="261"/>
      <c r="O94" s="261"/>
      <c r="P94" s="261"/>
      <c r="Q94" s="261"/>
      <c r="R94" s="277"/>
      <c r="S94" s="261"/>
      <c r="T94" s="261"/>
      <c r="U94" s="261"/>
      <c r="V94" s="262"/>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row>
    <row r="95" spans="4:48" ht="12.75">
      <c r="D95" s="263"/>
      <c r="E95" s="263"/>
      <c r="F95" s="263"/>
      <c r="G95" s="263"/>
      <c r="H95" s="263"/>
      <c r="I95" s="272"/>
      <c r="J95" s="264"/>
      <c r="K95" s="264"/>
      <c r="L95" s="264"/>
      <c r="M95" s="275"/>
      <c r="N95" s="261"/>
      <c r="O95" s="261"/>
      <c r="P95" s="261"/>
      <c r="Q95" s="261"/>
      <c r="R95" s="277"/>
      <c r="S95" s="261"/>
      <c r="T95" s="261"/>
      <c r="U95" s="261"/>
      <c r="V95" s="262"/>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row>
  </sheetData>
  <mergeCells count="85">
    <mergeCell ref="B9:C9"/>
    <mergeCell ref="B10:C10"/>
    <mergeCell ref="L11:L12"/>
    <mergeCell ref="J11:J12"/>
    <mergeCell ref="J10:L10"/>
    <mergeCell ref="J9:M9"/>
    <mergeCell ref="G11:G12"/>
    <mergeCell ref="H11:H12"/>
    <mergeCell ref="D10:G10"/>
    <mergeCell ref="K11:K12"/>
    <mergeCell ref="L1:N1"/>
    <mergeCell ref="L3:N3"/>
    <mergeCell ref="D9:I9"/>
    <mergeCell ref="I10:I12"/>
    <mergeCell ref="L2:M2"/>
    <mergeCell ref="A6:V6"/>
    <mergeCell ref="Q11:Q12"/>
    <mergeCell ref="M10:M12"/>
    <mergeCell ref="E11:E12"/>
    <mergeCell ref="F11:F12"/>
    <mergeCell ref="B48:C48"/>
    <mergeCell ref="B57:C57"/>
    <mergeCell ref="B58:C58"/>
    <mergeCell ref="B49:C49"/>
    <mergeCell ref="B50:C50"/>
    <mergeCell ref="B51:C51"/>
    <mergeCell ref="B52:C52"/>
    <mergeCell ref="A59:C59"/>
    <mergeCell ref="A60:C60"/>
    <mergeCell ref="B53:C53"/>
    <mergeCell ref="B54:C54"/>
    <mergeCell ref="B55:C55"/>
    <mergeCell ref="B56:C56"/>
    <mergeCell ref="B38:C38"/>
    <mergeCell ref="B39:C39"/>
    <mergeCell ref="B40:C40"/>
    <mergeCell ref="B47:C47"/>
    <mergeCell ref="A41:C41"/>
    <mergeCell ref="B42:C42"/>
    <mergeCell ref="B43:C43"/>
    <mergeCell ref="B44:C44"/>
    <mergeCell ref="B45:C45"/>
    <mergeCell ref="B46:C46"/>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5:C15"/>
    <mergeCell ref="D11:D12"/>
    <mergeCell ref="B16:C16"/>
    <mergeCell ref="B17:C17"/>
    <mergeCell ref="B13:C13"/>
    <mergeCell ref="B14:C14"/>
    <mergeCell ref="A8:A12"/>
    <mergeCell ref="B8:C8"/>
    <mergeCell ref="D8:T8"/>
    <mergeCell ref="T9:T12"/>
    <mergeCell ref="N9:R9"/>
    <mergeCell ref="N10:R10"/>
    <mergeCell ref="N11:N12"/>
    <mergeCell ref="O11:O12"/>
    <mergeCell ref="P11:P12"/>
    <mergeCell ref="R11:R12"/>
    <mergeCell ref="T1:Y1"/>
    <mergeCell ref="U2:W2"/>
    <mergeCell ref="T3:Y3"/>
    <mergeCell ref="S11:S12"/>
    <mergeCell ref="U11:U12"/>
    <mergeCell ref="V8:V12"/>
  </mergeCells>
  <printOptions/>
  <pageMargins left="0.3937007874015748" right="0.3937007874015748" top="0.67" bottom="0.3937007874015748" header="0.62" footer="0.2362204724409449"/>
  <pageSetup horizontalDpi="600" verticalDpi="600" orientation="landscape"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adem</cp:lastModifiedBy>
  <cp:lastPrinted>2005-04-06T07:25:52Z</cp:lastPrinted>
  <dcterms:created xsi:type="dcterms:W3CDTF">2003-12-10T21:35:36Z</dcterms:created>
  <dcterms:modified xsi:type="dcterms:W3CDTF">2005-04-12T12:34:59Z</dcterms:modified>
  <cp:category/>
  <cp:version/>
  <cp:contentType/>
  <cp:contentStatus/>
</cp:coreProperties>
</file>