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50" windowHeight="4995" activeTab="2"/>
  </bookViews>
  <sheets>
    <sheet name="№1" sheetId="1" r:id="rId1"/>
    <sheet name="№2" sheetId="2" r:id="rId2"/>
    <sheet name="№3" sheetId="3" r:id="rId3"/>
    <sheet name="№5" sheetId="4" r:id="rId4"/>
    <sheet name="№7" sheetId="5" r:id="rId5"/>
  </sheets>
  <definedNames>
    <definedName name="_xlnm.Print_Titles" localSheetId="0">'№1'!$10:$12</definedName>
    <definedName name="_xlnm.Print_Area" localSheetId="0">'№1'!$A$1:$F$72</definedName>
    <definedName name="_xlnm.Print_Area" localSheetId="1">'№2'!$A$1:$K$94</definedName>
    <definedName name="_xlnm.Print_Area" localSheetId="2">'№3'!$A$1:$K$138</definedName>
    <definedName name="_xlnm.Print_Area" localSheetId="4">'№7'!$A$1:$D$20</definedName>
  </definedNames>
  <calcPr fullCalcOnLoad="1"/>
</workbook>
</file>

<file path=xl/sharedStrings.xml><?xml version="1.0" encoding="utf-8"?>
<sst xmlns="http://schemas.openxmlformats.org/spreadsheetml/2006/main" count="563" uniqueCount="331">
  <si>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</si>
  <si>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</si>
  <si>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Региональные программы и централизованные мероприятия</t>
  </si>
  <si>
    <t>Реализация государственных программ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</si>
  <si>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</si>
  <si>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</si>
  <si>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250380</t>
  </si>
  <si>
    <t>Прочие субвенции</t>
  </si>
  <si>
    <t xml:space="preserve">Главное управление капитального строительста </t>
  </si>
  <si>
    <t>Управление градостроительства и архитектуры</t>
  </si>
  <si>
    <t>от _______________      № _______</t>
  </si>
  <si>
    <t>41030400</t>
  </si>
  <si>
    <t>Субвенция из государственного бюджета местным бюджетам на выполнение инвестиционных проектов</t>
  </si>
  <si>
    <t>41034800</t>
  </si>
  <si>
    <t>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</si>
  <si>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250368</t>
  </si>
  <si>
    <t>250324</t>
  </si>
  <si>
    <t>150122</t>
  </si>
  <si>
    <t>Инвестиционные проекты</t>
  </si>
  <si>
    <t>Гостиничное хозяйство</t>
  </si>
  <si>
    <t>100206</t>
  </si>
  <si>
    <t>180109</t>
  </si>
  <si>
    <t>130112</t>
  </si>
  <si>
    <t>41035000</t>
  </si>
  <si>
    <t>Управление культуры облгосадминистрации</t>
  </si>
  <si>
    <t>090416</t>
  </si>
  <si>
    <t>Прочие расходы на социальную защиту ветеранов войны и труда</t>
  </si>
  <si>
    <t>Субвенция из государственного бюджета областному бюджету на социально-экономическое развитие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</si>
  <si>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</si>
  <si>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г.Димитрово</t>
  </si>
  <si>
    <t>г.Константиновка</t>
  </si>
  <si>
    <t>г.Краматорск</t>
  </si>
  <si>
    <t>г.Красный Лиман</t>
  </si>
  <si>
    <t>Артемовский район</t>
  </si>
  <si>
    <t>Володарский район</t>
  </si>
  <si>
    <t>всего</t>
  </si>
  <si>
    <t>в т.ч. расходы на содержание объектов социальной сферы предприятий, которые передаются в коммунальную собственность</t>
  </si>
  <si>
    <t>100105</t>
  </si>
  <si>
    <t>Сумма субвенции, тыс.грн.</t>
  </si>
  <si>
    <t>г.Славянск</t>
  </si>
  <si>
    <t>для подготовки медицинского обслуживания юбилейных мероприятий "Святогорье-2004"</t>
  </si>
  <si>
    <t>Великоновоселковский район</t>
  </si>
  <si>
    <t>на социально-экономическое развитие</t>
  </si>
  <si>
    <t>Марьинский район</t>
  </si>
  <si>
    <t xml:space="preserve">Всего </t>
  </si>
  <si>
    <t>Приложение 7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</si>
  <si>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зубопротезирование,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</si>
  <si>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250372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</si>
  <si>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</si>
  <si>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</si>
  <si>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</si>
  <si>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</si>
  <si>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</si>
  <si>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</si>
  <si>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</si>
  <si>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</si>
  <si>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</si>
  <si>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</si>
  <si>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</si>
  <si>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</si>
  <si>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</si>
  <si>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</si>
  <si>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</si>
  <si>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</si>
  <si>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</si>
  <si>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</si>
  <si>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</si>
  <si>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</si>
  <si>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</si>
  <si>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</si>
  <si>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</si>
  <si>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</si>
  <si>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</si>
  <si>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</si>
  <si>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</si>
  <si>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</si>
  <si>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</si>
  <si>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</si>
  <si>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</si>
  <si>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</si>
  <si>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</si>
  <si>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</si>
  <si>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</si>
  <si>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</si>
  <si>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</si>
  <si>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</si>
  <si>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</si>
  <si>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</si>
  <si>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</si>
  <si>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</si>
  <si>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</si>
  <si>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</si>
  <si>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</si>
  <si>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</si>
  <si>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</si>
  <si>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</si>
  <si>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</si>
  <si>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</si>
  <si>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</si>
  <si>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</si>
  <si>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</si>
  <si>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</si>
  <si>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</si>
  <si>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</si>
  <si>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</si>
  <si>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</si>
  <si>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</si>
  <si>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</si>
  <si>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</si>
  <si>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</si>
  <si>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</si>
  <si>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</si>
  <si>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</si>
  <si>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</si>
  <si>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</si>
  <si>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</si>
  <si>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</si>
  <si>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</si>
  <si>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</si>
  <si>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</si>
  <si>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</si>
  <si>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</si>
  <si>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</si>
  <si>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</si>
  <si>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</si>
  <si>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</si>
  <si>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</si>
  <si>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</si>
  <si>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</si>
  <si>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</si>
  <si>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</si>
  <si>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</si>
  <si>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</si>
  <si>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</si>
  <si>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</si>
  <si>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</si>
  <si>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</si>
  <si>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</si>
  <si>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</si>
  <si>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</si>
  <si>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</si>
  <si>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 xml:space="preserve">к решению областного совета 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</si>
  <si>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</si>
  <si>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</si>
  <si>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</si>
  <si>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</si>
  <si>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</si>
  <si>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</si>
  <si>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</si>
  <si>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</si>
  <si>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</si>
  <si>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</si>
  <si>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</si>
  <si>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</si>
  <si>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</si>
  <si>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</si>
  <si>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</si>
  <si>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</si>
  <si>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</si>
  <si>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</si>
  <si>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</si>
  <si>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</si>
  <si>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</si>
  <si>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</si>
  <si>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</si>
  <si>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</si>
  <si>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</si>
  <si>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</si>
  <si>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</si>
  <si>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</si>
  <si>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</si>
  <si>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</si>
  <si>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</si>
  <si>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</si>
  <si>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</si>
  <si>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</si>
  <si>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</si>
  <si>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</si>
  <si>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</si>
  <si>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</si>
  <si>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</si>
  <si>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</si>
  <si>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</si>
  <si>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</si>
  <si>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</si>
  <si>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</si>
  <si>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</si>
  <si>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</si>
  <si>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</si>
  <si>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</si>
  <si>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О70601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</si>
  <si>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</si>
  <si>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</si>
  <si>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</si>
  <si>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</si>
  <si>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</si>
  <si>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</si>
  <si>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</si>
  <si>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</si>
  <si>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</si>
  <si>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</si>
  <si>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</si>
  <si>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</si>
  <si>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</si>
  <si>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</si>
  <si>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</si>
  <si>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</si>
  <si>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</si>
  <si>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</si>
  <si>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</si>
  <si>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</si>
  <si>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</si>
  <si>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</si>
  <si>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</si>
  <si>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</si>
  <si>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</si>
  <si>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</si>
  <si>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</si>
  <si>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</si>
  <si>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</si>
  <si>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</si>
  <si>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</si>
  <si>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</si>
  <si>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</si>
  <si>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</si>
  <si>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</si>
  <si>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</si>
  <si>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</si>
  <si>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</si>
  <si>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</si>
  <si>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</si>
  <si>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</si>
  <si>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</si>
  <si>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</si>
  <si>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</si>
  <si>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</si>
  <si>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</si>
  <si>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</si>
  <si>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</si>
  <si>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</si>
  <si>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</si>
  <si>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</si>
  <si>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</si>
  <si>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</si>
  <si>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</si>
  <si>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</si>
  <si>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</si>
  <si>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</si>
  <si>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</si>
  <si>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</si>
  <si>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</si>
  <si>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</si>
  <si>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</si>
  <si>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</si>
  <si>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>41021200</t>
  </si>
  <si>
    <t>41021300</t>
  </si>
  <si>
    <t>41035400</t>
  </si>
  <si>
    <t>41032200</t>
  </si>
  <si>
    <t>250342</t>
  </si>
  <si>
    <t>250318</t>
  </si>
  <si>
    <t>250313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</si>
  <si>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</si>
  <si>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</si>
  <si>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</si>
  <si>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</si>
  <si>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</si>
  <si>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</si>
  <si>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</si>
  <si>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</si>
  <si>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</si>
  <si>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</si>
  <si>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</si>
  <si>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</si>
  <si>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</si>
  <si>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</si>
  <si>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</si>
  <si>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</si>
  <si>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</si>
  <si>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</si>
  <si>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</si>
  <si>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</si>
  <si>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</si>
  <si>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</si>
  <si>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</si>
  <si>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</si>
  <si>
    <t>Управление по делам семьи и молодежи</t>
  </si>
  <si>
    <t>от_______________   №_______</t>
  </si>
  <si>
    <t>от________________ № ____</t>
  </si>
  <si>
    <t>от ______________ № _______</t>
  </si>
  <si>
    <t xml:space="preserve">Субвенции из областного бюджета бюджетам городов и районов </t>
  </si>
  <si>
    <t>Субвенция из государственного бюджета местным бюджетам на социально-экономическое развитие соответствующих территорий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</si>
  <si>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</si>
  <si>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Расходы на проведение работ, связанных со строительством, реконструкцией, ремонтом и  содержанием автомобильных дорог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</si>
  <si>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</si>
  <si>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Субвенция из государственного бюджета  местным бюджетам на социально-экономическое развитие соответствующих территорий</t>
  </si>
  <si>
    <t>Облгосадминистрация</t>
  </si>
  <si>
    <t>Проведение выборов  депутатов местных советов</t>
  </si>
  <si>
    <t>Проведение выборов депутатов местных советов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</si>
  <si>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</t>
  </si>
  <si>
    <t>Филармонии, музыкальные коллективы и ансамбли  и прочие мероприятия и учреждения по искусству</t>
  </si>
  <si>
    <t>Главное управление труда и социальной защиты населения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</si>
  <si>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</t>
  </si>
  <si>
    <t>и 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</si>
  <si>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и </t>
  </si>
  <si>
    <t>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</si>
  <si>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</t>
  </si>
  <si>
    <t>тепло-, водоснабжения и водоотведения, квартплаты, вывозу бытового мусора и жидких нечистот</t>
  </si>
  <si>
    <t xml:space="preserve">Специализированные поликлиники                   ( врачебно-физкультурный диспансер) </t>
  </si>
  <si>
    <t>210105</t>
  </si>
  <si>
    <t>Расходы на предупреждение и ликвидацию чрезвычайных ситуаций и последствий стихийного бедствия</t>
  </si>
  <si>
    <t>170603</t>
  </si>
  <si>
    <t>Прочие мероприятия в сфере электротранспорта</t>
  </si>
  <si>
    <t>прочие мероприятия в сфере электротранспорта</t>
  </si>
  <si>
    <t>250205</t>
  </si>
  <si>
    <t>Проведение референдумов</t>
  </si>
  <si>
    <t>41021000</t>
  </si>
  <si>
    <t xml:space="preserve">Дополнительная дотация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</t>
  </si>
  <si>
    <t>250404</t>
  </si>
  <si>
    <t>г.Авдеевка</t>
  </si>
  <si>
    <t>250403</t>
  </si>
  <si>
    <t>Расходы на покрытие прочих задолженостей возникших в предыдущие годы</t>
  </si>
  <si>
    <t>250316</t>
  </si>
  <si>
    <t>Приложение 5</t>
  </si>
  <si>
    <t>от _______________ № _____</t>
  </si>
  <si>
    <t>Финансирование областного бюджета на 2004 год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</si>
  <si>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</si>
  <si>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</si>
  <si>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</si>
  <si>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</si>
  <si>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</si>
  <si>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г.Артемовск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</si>
</sst>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172" fontId="0" fillId="0" borderId="0" xfId="0" applyNumberFormat="1" applyFont="1" applyFill="1" applyAlignment="1">
      <alignment/>
    </xf>
    <xf numFmtId="49" fontId="1" fillId="0" borderId="7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left" vertical="center" wrapText="1"/>
    </xf>
    <xf numFmtId="172" fontId="3" fillId="0" borderId="9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 shrinkToFit="1"/>
    </xf>
    <xf numFmtId="0" fontId="1" fillId="0" borderId="4" xfId="0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 shrinkToFit="1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172" fontId="3" fillId="0" borderId="22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0" fontId="3" fillId="0" borderId="4" xfId="0" applyFont="1" applyBorder="1" applyAlignment="1">
      <alignment horizontal="center" vertical="top" wrapText="1" shrinkToFi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wrapText="1"/>
    </xf>
    <xf numFmtId="172" fontId="3" fillId="0" borderId="5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left" vertical="top" wrapText="1"/>
    </xf>
    <xf numFmtId="172" fontId="3" fillId="0" borderId="6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 horizontal="left" wrapText="1" shrinkToFit="1"/>
    </xf>
    <xf numFmtId="172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center"/>
    </xf>
    <xf numFmtId="172" fontId="1" fillId="0" borderId="5" xfId="0" applyNumberFormat="1" applyFont="1" applyFill="1" applyBorder="1" applyAlignment="1">
      <alignment horizontal="left"/>
    </xf>
    <xf numFmtId="172" fontId="3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 shrinkToFit="1"/>
    </xf>
    <xf numFmtId="0" fontId="3" fillId="0" borderId="2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/>
    </xf>
    <xf numFmtId="172" fontId="3" fillId="0" borderId="27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wrapText="1"/>
    </xf>
    <xf numFmtId="172" fontId="3" fillId="0" borderId="29" xfId="0" applyNumberFormat="1" applyFont="1" applyFill="1" applyBorder="1" applyAlignment="1">
      <alignment horizontal="right"/>
    </xf>
    <xf numFmtId="172" fontId="3" fillId="0" borderId="30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72" fontId="1" fillId="0" borderId="9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72" fontId="3" fillId="0" borderId="27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 wrapText="1" shrinkToFit="1"/>
    </xf>
    <xf numFmtId="172" fontId="3" fillId="0" borderId="3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wrapText="1" shrinkToFit="1"/>
    </xf>
    <xf numFmtId="172" fontId="1" fillId="0" borderId="9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3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horizontal="center" wrapText="1" shrinkToFit="1"/>
    </xf>
    <xf numFmtId="49" fontId="1" fillId="0" borderId="16" xfId="0" applyNumberFormat="1" applyFont="1" applyFill="1" applyBorder="1" applyAlignment="1">
      <alignment horizontal="center" vertical="top"/>
    </xf>
    <xf numFmtId="172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 shrinkToFit="1"/>
    </xf>
    <xf numFmtId="0" fontId="3" fillId="0" borderId="2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1" fillId="0" borderId="1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left"/>
    </xf>
    <xf numFmtId="172" fontId="1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6" xfId="0" applyFont="1" applyFill="1" applyBorder="1" applyAlignment="1">
      <alignment horizontal="center" wrapText="1" shrinkToFi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2" fontId="1" fillId="0" borderId="32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2" fontId="1" fillId="0" borderId="6" xfId="0" applyNumberFormat="1" applyFont="1" applyFill="1" applyBorder="1" applyAlignment="1">
      <alignment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172" fontId="3" fillId="0" borderId="18" xfId="0" applyNumberFormat="1" applyFont="1" applyBorder="1" applyAlignment="1">
      <alignment horizontal="center" vertical="top" wrapText="1"/>
    </xf>
    <xf numFmtId="172" fontId="1" fillId="0" borderId="19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75" zoomScaleNormal="70" zoomScaleSheetLayoutView="75" workbookViewId="0" topLeftCell="A61">
      <selection activeCell="B57" sqref="B57"/>
    </sheetView>
  </sheetViews>
  <sheetFormatPr defaultColWidth="9.00390625" defaultRowHeight="12.75"/>
  <cols>
    <col min="1" max="1" width="8.75390625" style="92" customWidth="1"/>
    <col min="2" max="2" width="52.125" style="94" customWidth="1"/>
    <col min="3" max="3" width="10.625" style="93" customWidth="1"/>
    <col min="4" max="4" width="9.375" style="93" customWidth="1"/>
    <col min="5" max="5" width="9.125" style="93" customWidth="1"/>
    <col min="6" max="6" width="11.625" style="93" customWidth="1"/>
    <col min="7" max="10" width="9.25390625" style="93" bestFit="1" customWidth="1"/>
    <col min="11" max="11" width="10.00390625" style="93" bestFit="1" customWidth="1"/>
    <col min="12" max="16384" width="9.125" style="93" customWidth="1"/>
  </cols>
  <sheetData>
    <row r="1" spans="2:6" ht="12.75">
      <c r="B1" s="93"/>
      <c r="D1" s="201" t="s">
        <v>143</v>
      </c>
      <c r="E1" s="201"/>
      <c r="F1" s="201"/>
    </row>
    <row r="2" spans="4:6" ht="12.75">
      <c r="D2" s="201" t="s">
        <v>49</v>
      </c>
      <c r="E2" s="201"/>
      <c r="F2" s="201"/>
    </row>
    <row r="3" spans="4:6" ht="12.75">
      <c r="D3" s="201" t="s">
        <v>10</v>
      </c>
      <c r="E3" s="201"/>
      <c r="F3" s="201"/>
    </row>
    <row r="4" spans="5:6" ht="14.25" customHeight="1">
      <c r="E4" s="201"/>
      <c r="F4" s="201"/>
    </row>
    <row r="5" ht="3.75" customHeight="1" hidden="1"/>
    <row r="6" spans="1:6" ht="15" customHeight="1">
      <c r="A6" s="203" t="s">
        <v>144</v>
      </c>
      <c r="B6" s="203"/>
      <c r="C6" s="203"/>
      <c r="D6" s="203"/>
      <c r="E6" s="203"/>
      <c r="F6" s="203"/>
    </row>
    <row r="7" ht="12.75" customHeight="1">
      <c r="F7" s="3" t="s">
        <v>187</v>
      </c>
    </row>
    <row r="8" ht="12.75" thickBot="1"/>
    <row r="9" ht="12" customHeight="1" hidden="1"/>
    <row r="10" spans="1:6" ht="13.5" thickBot="1">
      <c r="A10" s="204" t="s">
        <v>145</v>
      </c>
      <c r="B10" s="206" t="s">
        <v>146</v>
      </c>
      <c r="C10" s="208" t="s">
        <v>147</v>
      </c>
      <c r="D10" s="95" t="s">
        <v>148</v>
      </c>
      <c r="E10" s="96"/>
      <c r="F10" s="210" t="s">
        <v>56</v>
      </c>
    </row>
    <row r="11" spans="1:6" ht="39" thickBot="1">
      <c r="A11" s="205"/>
      <c r="B11" s="207"/>
      <c r="C11" s="209"/>
      <c r="D11" s="97" t="s">
        <v>56</v>
      </c>
      <c r="E11" s="98" t="s">
        <v>149</v>
      </c>
      <c r="F11" s="191"/>
    </row>
    <row r="12" spans="1:6" ht="13.5" thickBot="1">
      <c r="A12" s="99">
        <v>1</v>
      </c>
      <c r="B12" s="100">
        <v>2</v>
      </c>
      <c r="C12" s="101">
        <v>3</v>
      </c>
      <c r="D12" s="101">
        <v>4</v>
      </c>
      <c r="E12" s="101">
        <v>5</v>
      </c>
      <c r="F12" s="101" t="s">
        <v>150</v>
      </c>
    </row>
    <row r="13" spans="1:7" s="60" customFormat="1" ht="13.5" thickBot="1">
      <c r="A13" s="110">
        <v>10000000</v>
      </c>
      <c r="B13" s="168" t="s">
        <v>151</v>
      </c>
      <c r="C13" s="111">
        <f>C14+C20+C22</f>
        <v>472211.6</v>
      </c>
      <c r="D13" s="111">
        <f>D18+D22</f>
        <v>29400</v>
      </c>
      <c r="E13" s="111" t="s">
        <v>152</v>
      </c>
      <c r="F13" s="169">
        <f>C13+D13</f>
        <v>501611.6</v>
      </c>
      <c r="G13" s="59"/>
    </row>
    <row r="14" spans="1:6" ht="25.5">
      <c r="A14" s="170">
        <v>11000000</v>
      </c>
      <c r="B14" s="171" t="s">
        <v>153</v>
      </c>
      <c r="C14" s="172">
        <f>C15+C16</f>
        <v>378505.89999999997</v>
      </c>
      <c r="D14" s="172" t="s">
        <v>152</v>
      </c>
      <c r="E14" s="172" t="s">
        <v>152</v>
      </c>
      <c r="F14" s="173">
        <f>F15+F16</f>
        <v>378505.89999999997</v>
      </c>
    </row>
    <row r="15" spans="1:6" ht="12.75">
      <c r="A15" s="69">
        <v>11010000</v>
      </c>
      <c r="B15" s="46" t="s">
        <v>154</v>
      </c>
      <c r="C15" s="104">
        <f>358662.3+6000+8523.6+900+1000+3000</f>
        <v>378085.89999999997</v>
      </c>
      <c r="D15" s="102" t="s">
        <v>152</v>
      </c>
      <c r="E15" s="102" t="s">
        <v>152</v>
      </c>
      <c r="F15" s="103">
        <f>C15</f>
        <v>378085.89999999997</v>
      </c>
    </row>
    <row r="16" spans="1:6" ht="12.75">
      <c r="A16" s="69">
        <v>11020000</v>
      </c>
      <c r="B16" s="46" t="s">
        <v>155</v>
      </c>
      <c r="C16" s="102">
        <f>C17</f>
        <v>420</v>
      </c>
      <c r="D16" s="102" t="s">
        <v>152</v>
      </c>
      <c r="E16" s="102" t="s">
        <v>152</v>
      </c>
      <c r="F16" s="103">
        <f>C16</f>
        <v>420</v>
      </c>
    </row>
    <row r="17" spans="1:6" ht="25.5">
      <c r="A17" s="69">
        <v>11020200</v>
      </c>
      <c r="B17" s="46" t="s">
        <v>156</v>
      </c>
      <c r="C17" s="104">
        <v>420</v>
      </c>
      <c r="D17" s="102" t="s">
        <v>152</v>
      </c>
      <c r="E17" s="102" t="s">
        <v>152</v>
      </c>
      <c r="F17" s="103">
        <f>C17</f>
        <v>420</v>
      </c>
    </row>
    <row r="18" spans="1:6" ht="12.75">
      <c r="A18" s="69">
        <v>12000000</v>
      </c>
      <c r="B18" s="46" t="s">
        <v>157</v>
      </c>
      <c r="C18" s="102" t="s">
        <v>152</v>
      </c>
      <c r="D18" s="102">
        <f>D19</f>
        <v>28100</v>
      </c>
      <c r="E18" s="102" t="s">
        <v>152</v>
      </c>
      <c r="F18" s="103">
        <f>F19</f>
        <v>28100</v>
      </c>
    </row>
    <row r="19" spans="1:6" ht="25.5">
      <c r="A19" s="69">
        <v>12020000</v>
      </c>
      <c r="B19" s="46" t="s">
        <v>158</v>
      </c>
      <c r="C19" s="102" t="s">
        <v>152</v>
      </c>
      <c r="D19" s="104">
        <v>28100</v>
      </c>
      <c r="E19" s="102" t="s">
        <v>152</v>
      </c>
      <c r="F19" s="103">
        <v>28100</v>
      </c>
    </row>
    <row r="20" spans="1:6" ht="16.5" customHeight="1">
      <c r="A20" s="69">
        <v>13000000</v>
      </c>
      <c r="B20" s="46" t="s">
        <v>159</v>
      </c>
      <c r="C20" s="102">
        <f>C21</f>
        <v>68250</v>
      </c>
      <c r="D20" s="102" t="s">
        <v>152</v>
      </c>
      <c r="E20" s="102" t="s">
        <v>152</v>
      </c>
      <c r="F20" s="103">
        <f>F21</f>
        <v>68250</v>
      </c>
    </row>
    <row r="21" spans="1:6" ht="12.75">
      <c r="A21" s="69">
        <v>13050000</v>
      </c>
      <c r="B21" s="46" t="s">
        <v>160</v>
      </c>
      <c r="C21" s="104">
        <f>66250+2000</f>
        <v>68250</v>
      </c>
      <c r="D21" s="102" t="s">
        <v>152</v>
      </c>
      <c r="E21" s="102" t="s">
        <v>152</v>
      </c>
      <c r="F21" s="103">
        <f>C21</f>
        <v>68250</v>
      </c>
    </row>
    <row r="22" spans="1:6" ht="13.5" customHeight="1">
      <c r="A22" s="69">
        <v>14000000</v>
      </c>
      <c r="B22" s="46" t="s">
        <v>161</v>
      </c>
      <c r="C22" s="102">
        <f>C23+C24+C25</f>
        <v>25455.7</v>
      </c>
      <c r="D22" s="102">
        <f>D26</f>
        <v>1300</v>
      </c>
      <c r="E22" s="102" t="s">
        <v>152</v>
      </c>
      <c r="F22" s="103">
        <f>C22+D22</f>
        <v>26755.7</v>
      </c>
    </row>
    <row r="23" spans="1:6" ht="12.75">
      <c r="A23" s="69">
        <v>14060200</v>
      </c>
      <c r="B23" s="46" t="s">
        <v>162</v>
      </c>
      <c r="C23" s="104">
        <f>460-100</f>
        <v>360</v>
      </c>
      <c r="D23" s="102" t="s">
        <v>152</v>
      </c>
      <c r="E23" s="102" t="s">
        <v>152</v>
      </c>
      <c r="F23" s="103">
        <f>C23</f>
        <v>360</v>
      </c>
    </row>
    <row r="24" spans="1:6" ht="25.5">
      <c r="A24" s="69">
        <v>14060300</v>
      </c>
      <c r="B24" s="46" t="s">
        <v>163</v>
      </c>
      <c r="C24" s="104">
        <v>22</v>
      </c>
      <c r="D24" s="102" t="s">
        <v>152</v>
      </c>
      <c r="E24" s="102" t="s">
        <v>152</v>
      </c>
      <c r="F24" s="103">
        <f>C24</f>
        <v>22</v>
      </c>
    </row>
    <row r="25" spans="1:6" ht="25.5">
      <c r="A25" s="69">
        <v>14061100</v>
      </c>
      <c r="B25" s="46" t="s">
        <v>164</v>
      </c>
      <c r="C25" s="104">
        <f>18000+1800+300+4973.7</f>
        <v>25073.7</v>
      </c>
      <c r="D25" s="102" t="s">
        <v>152</v>
      </c>
      <c r="E25" s="102" t="s">
        <v>152</v>
      </c>
      <c r="F25" s="103">
        <f>C25</f>
        <v>25073.7</v>
      </c>
    </row>
    <row r="26" spans="1:6" ht="25.5">
      <c r="A26" s="69">
        <v>14070000</v>
      </c>
      <c r="B26" s="46" t="s">
        <v>165</v>
      </c>
      <c r="C26" s="102" t="s">
        <v>152</v>
      </c>
      <c r="D26" s="102">
        <f>D27</f>
        <v>1300</v>
      </c>
      <c r="E26" s="102" t="s">
        <v>152</v>
      </c>
      <c r="F26" s="103">
        <f>F27</f>
        <v>1300</v>
      </c>
    </row>
    <row r="27" spans="1:6" ht="38.25">
      <c r="A27" s="69">
        <v>14071500</v>
      </c>
      <c r="B27" s="46" t="s">
        <v>166</v>
      </c>
      <c r="C27" s="102" t="s">
        <v>152</v>
      </c>
      <c r="D27" s="104">
        <v>1300</v>
      </c>
      <c r="E27" s="102" t="s">
        <v>152</v>
      </c>
      <c r="F27" s="103">
        <f>D27</f>
        <v>1300</v>
      </c>
    </row>
    <row r="28" spans="1:6" s="60" customFormat="1" ht="12.75">
      <c r="A28" s="62">
        <v>20000000</v>
      </c>
      <c r="B28" s="57" t="s">
        <v>167</v>
      </c>
      <c r="C28" s="58">
        <f>C29+C32+C34+C37</f>
        <v>8681.600000000002</v>
      </c>
      <c r="D28" s="58">
        <f>D31+D41</f>
        <v>20314.3</v>
      </c>
      <c r="E28" s="58" t="s">
        <v>152</v>
      </c>
      <c r="F28" s="61">
        <f>C28+D28</f>
        <v>28995.9</v>
      </c>
    </row>
    <row r="29" spans="1:6" ht="25.5">
      <c r="A29" s="69">
        <v>21000000</v>
      </c>
      <c r="B29" s="46" t="s">
        <v>168</v>
      </c>
      <c r="C29" s="102">
        <f>C30</f>
        <v>6662.4000000000015</v>
      </c>
      <c r="D29" s="102" t="str">
        <f>D30</f>
        <v>Х</v>
      </c>
      <c r="E29" s="102" t="s">
        <v>152</v>
      </c>
      <c r="F29" s="103">
        <f>C29</f>
        <v>6662.4000000000015</v>
      </c>
    </row>
    <row r="30" spans="1:6" ht="26.25" customHeight="1">
      <c r="A30" s="69">
        <v>21040000</v>
      </c>
      <c r="B30" s="46" t="s">
        <v>237</v>
      </c>
      <c r="C30" s="102">
        <f>25223.3+0.4+38.7+2500-1000-400-20000+300</f>
        <v>6662.4000000000015</v>
      </c>
      <c r="D30" s="102" t="s">
        <v>152</v>
      </c>
      <c r="E30" s="102" t="s">
        <v>152</v>
      </c>
      <c r="F30" s="103">
        <f>C30</f>
        <v>6662.4000000000015</v>
      </c>
    </row>
    <row r="31" spans="1:6" ht="25.5">
      <c r="A31" s="69">
        <v>21110000</v>
      </c>
      <c r="B31" s="46" t="s">
        <v>169</v>
      </c>
      <c r="C31" s="102" t="s">
        <v>152</v>
      </c>
      <c r="D31" s="102">
        <v>665.4</v>
      </c>
      <c r="E31" s="102" t="s">
        <v>152</v>
      </c>
      <c r="F31" s="103">
        <f>D31</f>
        <v>665.4</v>
      </c>
    </row>
    <row r="32" spans="1:8" ht="25.5">
      <c r="A32" s="69">
        <v>22000000</v>
      </c>
      <c r="B32" s="46" t="s">
        <v>170</v>
      </c>
      <c r="C32" s="102">
        <f>C33</f>
        <v>1783.1999999999998</v>
      </c>
      <c r="D32" s="102" t="s">
        <v>152</v>
      </c>
      <c r="E32" s="102" t="s">
        <v>152</v>
      </c>
      <c r="F32" s="103">
        <f>C32</f>
        <v>1783.1999999999998</v>
      </c>
      <c r="H32" s="113"/>
    </row>
    <row r="33" spans="1:6" ht="24.75" customHeight="1">
      <c r="A33" s="69">
        <v>22080000</v>
      </c>
      <c r="B33" s="105" t="s">
        <v>238</v>
      </c>
      <c r="C33" s="104">
        <f>750+83.3-47.8-0.2-2.1+1000</f>
        <v>1783.1999999999998</v>
      </c>
      <c r="D33" s="102" t="s">
        <v>152</v>
      </c>
      <c r="E33" s="102" t="s">
        <v>152</v>
      </c>
      <c r="F33" s="103">
        <f>C33</f>
        <v>1783.1999999999998</v>
      </c>
    </row>
    <row r="34" spans="1:6" ht="12.75">
      <c r="A34" s="69">
        <v>23000000</v>
      </c>
      <c r="B34" s="46" t="s">
        <v>171</v>
      </c>
      <c r="C34" s="102">
        <f>C36</f>
        <v>30</v>
      </c>
      <c r="D34" s="102" t="s">
        <v>152</v>
      </c>
      <c r="E34" s="102" t="s">
        <v>152</v>
      </c>
      <c r="F34" s="103">
        <f>C34</f>
        <v>30</v>
      </c>
    </row>
    <row r="35" spans="1:6" ht="63.75" hidden="1">
      <c r="A35" s="69">
        <v>23020000</v>
      </c>
      <c r="B35" s="46" t="s">
        <v>183</v>
      </c>
      <c r="C35" s="106" t="s">
        <v>152</v>
      </c>
      <c r="D35" s="106" t="s">
        <v>152</v>
      </c>
      <c r="E35" s="106" t="s">
        <v>152</v>
      </c>
      <c r="F35" s="107" t="s">
        <v>152</v>
      </c>
    </row>
    <row r="36" spans="1:6" ht="12.75">
      <c r="A36" s="69">
        <v>23030000</v>
      </c>
      <c r="B36" s="46" t="s">
        <v>172</v>
      </c>
      <c r="C36" s="104">
        <f>40-10</f>
        <v>30</v>
      </c>
      <c r="D36" s="102" t="s">
        <v>152</v>
      </c>
      <c r="E36" s="102" t="s">
        <v>152</v>
      </c>
      <c r="F36" s="103">
        <f>C36</f>
        <v>30</v>
      </c>
    </row>
    <row r="37" spans="1:6" ht="12.75">
      <c r="A37" s="69">
        <v>24000000</v>
      </c>
      <c r="B37" s="46" t="s">
        <v>173</v>
      </c>
      <c r="C37" s="104">
        <f>C40</f>
        <v>206</v>
      </c>
      <c r="D37" s="102" t="s">
        <v>152</v>
      </c>
      <c r="E37" s="102" t="s">
        <v>152</v>
      </c>
      <c r="F37" s="103">
        <f>C37</f>
        <v>206</v>
      </c>
    </row>
    <row r="38" spans="1:6" ht="12.75" hidden="1">
      <c r="A38" s="69"/>
      <c r="B38" s="46"/>
      <c r="C38" s="102">
        <v>0</v>
      </c>
      <c r="D38" s="102" t="s">
        <v>152</v>
      </c>
      <c r="E38" s="102" t="s">
        <v>152</v>
      </c>
      <c r="F38" s="103">
        <v>0</v>
      </c>
    </row>
    <row r="39" spans="1:6" ht="38.25" hidden="1">
      <c r="A39" s="69">
        <v>24030000</v>
      </c>
      <c r="B39" s="46" t="s">
        <v>184</v>
      </c>
      <c r="C39" s="106" t="s">
        <v>152</v>
      </c>
      <c r="D39" s="106" t="s">
        <v>152</v>
      </c>
      <c r="E39" s="106" t="s">
        <v>152</v>
      </c>
      <c r="F39" s="107" t="s">
        <v>152</v>
      </c>
    </row>
    <row r="40" spans="1:6" ht="12.75">
      <c r="A40" s="69">
        <v>24060300</v>
      </c>
      <c r="B40" s="46" t="s">
        <v>174</v>
      </c>
      <c r="C40" s="102">
        <v>206</v>
      </c>
      <c r="D40" s="102" t="s">
        <v>152</v>
      </c>
      <c r="E40" s="102" t="s">
        <v>152</v>
      </c>
      <c r="F40" s="103">
        <f>C40</f>
        <v>206</v>
      </c>
    </row>
    <row r="41" spans="1:6" ht="12.75">
      <c r="A41" s="69">
        <v>25000000</v>
      </c>
      <c r="B41" s="46" t="s">
        <v>175</v>
      </c>
      <c r="C41" s="102" t="s">
        <v>152</v>
      </c>
      <c r="D41" s="104">
        <f>19387.1+197+64.8</f>
        <v>19648.899999999998</v>
      </c>
      <c r="E41" s="102" t="s">
        <v>152</v>
      </c>
      <c r="F41" s="103">
        <f>D41</f>
        <v>19648.899999999998</v>
      </c>
    </row>
    <row r="42" spans="1:6" s="60" customFormat="1" ht="38.25">
      <c r="A42" s="62">
        <v>31030000</v>
      </c>
      <c r="B42" s="57" t="s">
        <v>176</v>
      </c>
      <c r="C42" s="58" t="s">
        <v>152</v>
      </c>
      <c r="D42" s="108">
        <v>1000</v>
      </c>
      <c r="E42" s="108">
        <f>D42</f>
        <v>1000</v>
      </c>
      <c r="F42" s="61">
        <f>D42</f>
        <v>1000</v>
      </c>
    </row>
    <row r="43" spans="1:6" s="60" customFormat="1" ht="12.75">
      <c r="A43" s="62">
        <v>50000000</v>
      </c>
      <c r="B43" s="57" t="s">
        <v>104</v>
      </c>
      <c r="C43" s="58" t="s">
        <v>152</v>
      </c>
      <c r="D43" s="58">
        <f>D44</f>
        <v>40200</v>
      </c>
      <c r="E43" s="58" t="s">
        <v>152</v>
      </c>
      <c r="F43" s="61">
        <f>D43</f>
        <v>40200</v>
      </c>
    </row>
    <row r="44" spans="1:6" ht="12.75">
      <c r="A44" s="69">
        <v>50080000</v>
      </c>
      <c r="B44" s="46" t="s">
        <v>177</v>
      </c>
      <c r="C44" s="102" t="s">
        <v>152</v>
      </c>
      <c r="D44" s="104">
        <f>38000+2200</f>
        <v>40200</v>
      </c>
      <c r="E44" s="102" t="s">
        <v>152</v>
      </c>
      <c r="F44" s="103">
        <f>D44</f>
        <v>40200</v>
      </c>
    </row>
    <row r="45" spans="1:8" s="60" customFormat="1" ht="12.75">
      <c r="A45" s="195" t="s">
        <v>178</v>
      </c>
      <c r="B45" s="187"/>
      <c r="C45" s="108">
        <f>C13+C28</f>
        <v>480893.19999999995</v>
      </c>
      <c r="D45" s="108">
        <f>D13+D28+D42+D43</f>
        <v>90914.3</v>
      </c>
      <c r="E45" s="58">
        <f>E42</f>
        <v>1000</v>
      </c>
      <c r="F45" s="61">
        <f>C45+D45</f>
        <v>571807.5</v>
      </c>
      <c r="H45" s="146"/>
    </row>
    <row r="46" spans="1:6" s="60" customFormat="1" ht="12.75">
      <c r="A46" s="62"/>
      <c r="B46" s="57"/>
      <c r="C46" s="108"/>
      <c r="D46" s="108"/>
      <c r="E46" s="58"/>
      <c r="F46" s="61"/>
    </row>
    <row r="47" spans="1:6" ht="12.75">
      <c r="A47" s="62">
        <v>40000000</v>
      </c>
      <c r="B47" s="57" t="s">
        <v>179</v>
      </c>
      <c r="C47" s="58">
        <f>C48+C52+C50+C51+C49</f>
        <v>891858.8</v>
      </c>
      <c r="D47" s="58">
        <f>D52+D71</f>
        <v>81206.4</v>
      </c>
      <c r="E47" s="58">
        <f>E52+E71</f>
        <v>71968.6</v>
      </c>
      <c r="F47" s="61">
        <f>C47+D47</f>
        <v>973065.2000000001</v>
      </c>
    </row>
    <row r="48" spans="1:6" ht="64.5" customHeight="1">
      <c r="A48" s="69">
        <v>41020600</v>
      </c>
      <c r="B48" s="46" t="s">
        <v>201</v>
      </c>
      <c r="C48" s="102">
        <v>29135.3</v>
      </c>
      <c r="D48" s="102" t="s">
        <v>152</v>
      </c>
      <c r="E48" s="102" t="s">
        <v>152</v>
      </c>
      <c r="F48" s="103">
        <f>C48</f>
        <v>29135.3</v>
      </c>
    </row>
    <row r="49" spans="1:6" ht="64.5" customHeight="1">
      <c r="A49" s="69" t="s">
        <v>315</v>
      </c>
      <c r="B49" s="46" t="s">
        <v>316</v>
      </c>
      <c r="C49" s="102">
        <v>149024.1</v>
      </c>
      <c r="D49" s="102"/>
      <c r="E49" s="102"/>
      <c r="F49" s="103">
        <f>C49</f>
        <v>149024.1</v>
      </c>
    </row>
    <row r="50" spans="1:6" ht="63.75">
      <c r="A50" s="69" t="s">
        <v>254</v>
      </c>
      <c r="B50" s="46" t="s">
        <v>293</v>
      </c>
      <c r="C50" s="102">
        <v>57812.4</v>
      </c>
      <c r="D50" s="102"/>
      <c r="E50" s="102"/>
      <c r="F50" s="103">
        <f>C50</f>
        <v>57812.4</v>
      </c>
    </row>
    <row r="51" spans="1:6" ht="63.75">
      <c r="A51" s="69" t="s">
        <v>255</v>
      </c>
      <c r="B51" s="166" t="s">
        <v>298</v>
      </c>
      <c r="C51" s="102">
        <v>1482.5</v>
      </c>
      <c r="D51" s="102"/>
      <c r="E51" s="102"/>
      <c r="F51" s="103">
        <f>C51</f>
        <v>1482.5</v>
      </c>
    </row>
    <row r="52" spans="1:6" ht="12.75">
      <c r="A52" s="62">
        <v>41030000</v>
      </c>
      <c r="B52" s="57" t="s">
        <v>180</v>
      </c>
      <c r="C52" s="58">
        <f>C55+C56+C57+C59+C60+C61+C62+C63+C64+C65+C54+C53+C66+C67+C68+C69+C70</f>
        <v>654404.5</v>
      </c>
      <c r="D52" s="58">
        <f>D55+D56+D57+D59+D60+D61+D62+D63+D64+D65+D54+D53+D66+D67</f>
        <v>9404.4</v>
      </c>
      <c r="E52" s="58">
        <f>E55+E56+E57+E59+E60+E61+E62+E63+E64+E65+E54+E53+E66+E67</f>
        <v>166.6</v>
      </c>
      <c r="F52" s="61">
        <f aca="true" t="shared" si="0" ref="F52:F69">C52+D52</f>
        <v>663808.9</v>
      </c>
    </row>
    <row r="53" spans="1:6" ht="25.5">
      <c r="A53" s="69" t="s">
        <v>11</v>
      </c>
      <c r="B53" s="46" t="s">
        <v>12</v>
      </c>
      <c r="C53" s="102">
        <f>43616-570+4400</f>
        <v>47446</v>
      </c>
      <c r="D53" s="102"/>
      <c r="E53" s="102"/>
      <c r="F53" s="103">
        <f>C53+D53</f>
        <v>47446</v>
      </c>
    </row>
    <row r="54" spans="1:6" ht="38.25">
      <c r="A54" s="69" t="s">
        <v>0</v>
      </c>
      <c r="B54" s="46" t="s">
        <v>1</v>
      </c>
      <c r="C54" s="102">
        <f>27940.1-255.2+7.2+352.7+1048.2-524.8-773.6+290</f>
        <v>28084.600000000002</v>
      </c>
      <c r="D54" s="102">
        <f>E54</f>
        <v>166.6</v>
      </c>
      <c r="E54" s="102">
        <f>306.5-139.9</f>
        <v>166.6</v>
      </c>
      <c r="F54" s="103">
        <f>C54+D54</f>
        <v>28251.2</v>
      </c>
    </row>
    <row r="55" spans="1:6" ht="38.25">
      <c r="A55" s="69" t="s">
        <v>218</v>
      </c>
      <c r="B55" s="46" t="s">
        <v>219</v>
      </c>
      <c r="C55" s="102">
        <f>93935.5+19050.1</f>
        <v>112985.6</v>
      </c>
      <c r="D55" s="102"/>
      <c r="E55" s="102"/>
      <c r="F55" s="103">
        <f t="shared" si="0"/>
        <v>112985.6</v>
      </c>
    </row>
    <row r="56" spans="1:6" ht="147.75" customHeight="1">
      <c r="A56" s="69">
        <v>41030700</v>
      </c>
      <c r="B56" s="196" t="s">
        <v>205</v>
      </c>
      <c r="C56" s="102">
        <v>6692.7</v>
      </c>
      <c r="D56" s="102"/>
      <c r="E56" s="102"/>
      <c r="F56" s="103">
        <f>C56+D56</f>
        <v>6692.7</v>
      </c>
    </row>
    <row r="57" spans="1:6" ht="267.75" customHeight="1">
      <c r="A57" s="188" t="s">
        <v>220</v>
      </c>
      <c r="B57" s="196" t="s">
        <v>301</v>
      </c>
      <c r="C57" s="189">
        <f>173905.7+21355.3+24000</f>
        <v>219261</v>
      </c>
      <c r="D57" s="192"/>
      <c r="E57" s="192"/>
      <c r="F57" s="202">
        <f>C57+D57</f>
        <v>219261</v>
      </c>
    </row>
    <row r="58" spans="1:6" ht="29.25" customHeight="1">
      <c r="A58" s="188"/>
      <c r="B58" s="198" t="s">
        <v>302</v>
      </c>
      <c r="C58" s="189"/>
      <c r="D58" s="192"/>
      <c r="E58" s="192"/>
      <c r="F58" s="202"/>
    </row>
    <row r="59" spans="1:6" ht="156" customHeight="1">
      <c r="A59" s="69" t="s">
        <v>221</v>
      </c>
      <c r="B59" s="197" t="s">
        <v>46</v>
      </c>
      <c r="C59" s="102">
        <f>60229.2+5144.8+13800</f>
        <v>79174</v>
      </c>
      <c r="D59" s="102"/>
      <c r="E59" s="102"/>
      <c r="F59" s="103">
        <f>C59+D59</f>
        <v>79174</v>
      </c>
    </row>
    <row r="60" spans="1:6" ht="106.5" customHeight="1">
      <c r="A60" s="69" t="s">
        <v>222</v>
      </c>
      <c r="B60" s="90" t="s">
        <v>223</v>
      </c>
      <c r="C60" s="102">
        <f>21042.2+1610.7+1300</f>
        <v>23952.9</v>
      </c>
      <c r="D60" s="102"/>
      <c r="E60" s="102"/>
      <c r="F60" s="103">
        <f>C60+D60</f>
        <v>23952.9</v>
      </c>
    </row>
    <row r="61" spans="1:6" ht="51.75" customHeight="1">
      <c r="A61" s="69">
        <v>41031900</v>
      </c>
      <c r="B61" s="47" t="s">
        <v>203</v>
      </c>
      <c r="C61" s="102">
        <v>10000</v>
      </c>
      <c r="D61" s="102"/>
      <c r="E61" s="102"/>
      <c r="F61" s="103">
        <f t="shared" si="0"/>
        <v>10000</v>
      </c>
    </row>
    <row r="62" spans="1:6" ht="55.5" customHeight="1" hidden="1">
      <c r="A62" s="69">
        <v>41033900</v>
      </c>
      <c r="B62" s="109" t="s">
        <v>204</v>
      </c>
      <c r="C62" s="102"/>
      <c r="D62" s="102"/>
      <c r="E62" s="102"/>
      <c r="F62" s="103">
        <f t="shared" si="0"/>
        <v>0</v>
      </c>
    </row>
    <row r="63" spans="1:6" ht="27.75" customHeight="1">
      <c r="A63" s="69">
        <v>41034000</v>
      </c>
      <c r="B63" s="90" t="s">
        <v>195</v>
      </c>
      <c r="C63" s="102">
        <v>11000</v>
      </c>
      <c r="D63" s="102"/>
      <c r="E63" s="102"/>
      <c r="F63" s="103">
        <f t="shared" si="0"/>
        <v>11000</v>
      </c>
    </row>
    <row r="64" spans="1:6" ht="41.25" customHeight="1">
      <c r="A64" s="69">
        <v>41034500</v>
      </c>
      <c r="B64" s="90" t="s">
        <v>202</v>
      </c>
      <c r="C64" s="102">
        <v>340</v>
      </c>
      <c r="D64" s="102"/>
      <c r="E64" s="102"/>
      <c r="F64" s="103">
        <f t="shared" si="0"/>
        <v>340</v>
      </c>
    </row>
    <row r="65" spans="1:6" ht="42" customHeight="1">
      <c r="A65" s="69" t="s">
        <v>224</v>
      </c>
      <c r="B65" s="90" t="s">
        <v>225</v>
      </c>
      <c r="C65" s="102"/>
      <c r="D65" s="102">
        <f>9037.8+200</f>
        <v>9237.8</v>
      </c>
      <c r="E65" s="102"/>
      <c r="F65" s="103">
        <f t="shared" si="0"/>
        <v>9237.8</v>
      </c>
    </row>
    <row r="66" spans="1:6" ht="63.75">
      <c r="A66" s="69" t="s">
        <v>13</v>
      </c>
      <c r="B66" s="90" t="s">
        <v>14</v>
      </c>
      <c r="C66" s="102">
        <f>33441+1000</f>
        <v>34441</v>
      </c>
      <c r="D66" s="102"/>
      <c r="E66" s="102"/>
      <c r="F66" s="103">
        <f t="shared" si="0"/>
        <v>34441</v>
      </c>
    </row>
    <row r="67" spans="1:6" ht="12.75">
      <c r="A67" s="69" t="s">
        <v>23</v>
      </c>
      <c r="B67" s="90" t="s">
        <v>7</v>
      </c>
      <c r="C67" s="102">
        <f>2703.7+109+5965+49</f>
        <v>8826.7</v>
      </c>
      <c r="D67" s="102"/>
      <c r="E67" s="102"/>
      <c r="F67" s="103">
        <f t="shared" si="0"/>
        <v>8826.7</v>
      </c>
    </row>
    <row r="68" spans="1:6" ht="42" customHeight="1">
      <c r="A68" s="69" t="s">
        <v>257</v>
      </c>
      <c r="B68" s="90" t="s">
        <v>290</v>
      </c>
      <c r="C68" s="102">
        <v>42200</v>
      </c>
      <c r="D68" s="102"/>
      <c r="E68" s="102"/>
      <c r="F68" s="103">
        <f t="shared" si="0"/>
        <v>42200</v>
      </c>
    </row>
    <row r="69" spans="1:6" ht="54.75" customHeight="1">
      <c r="A69" s="69" t="s">
        <v>256</v>
      </c>
      <c r="B69" s="90" t="s">
        <v>291</v>
      </c>
      <c r="C69" s="102">
        <v>30000</v>
      </c>
      <c r="D69" s="102"/>
      <c r="E69" s="102"/>
      <c r="F69" s="103">
        <f t="shared" si="0"/>
        <v>30000</v>
      </c>
    </row>
    <row r="70" spans="1:6" ht="27" customHeight="1" hidden="1">
      <c r="A70" s="69"/>
      <c r="B70" s="90"/>
      <c r="C70" s="102"/>
      <c r="D70" s="102"/>
      <c r="E70" s="102"/>
      <c r="F70" s="103"/>
    </row>
    <row r="71" spans="1:6" ht="27.75" customHeight="1">
      <c r="A71" s="62">
        <v>43010000</v>
      </c>
      <c r="B71" s="167" t="s">
        <v>181</v>
      </c>
      <c r="C71" s="58" t="s">
        <v>152</v>
      </c>
      <c r="D71" s="58">
        <f>E71</f>
        <v>71802</v>
      </c>
      <c r="E71" s="58">
        <f>60032.7+900+30+1650+119+1500+30+100+4654+300+530+1400-100+290+16+500+277+2000-2426.7</f>
        <v>71802</v>
      </c>
      <c r="F71" s="61">
        <f>D71</f>
        <v>71802</v>
      </c>
    </row>
    <row r="72" spans="1:6" s="60" customFormat="1" ht="13.5" thickBot="1">
      <c r="A72" s="193" t="s">
        <v>182</v>
      </c>
      <c r="B72" s="194"/>
      <c r="C72" s="174">
        <f>C45+C47</f>
        <v>1372752</v>
      </c>
      <c r="D72" s="174">
        <f>D45+D47</f>
        <v>172120.7</v>
      </c>
      <c r="E72" s="174">
        <f>E47+E45</f>
        <v>72968.6</v>
      </c>
      <c r="F72" s="175">
        <f>C72+D72</f>
        <v>1544872.7</v>
      </c>
    </row>
    <row r="73" spans="3:10" ht="12.75">
      <c r="C73" s="32"/>
      <c r="D73" s="32"/>
      <c r="E73" s="113"/>
      <c r="F73" s="32"/>
      <c r="G73" s="113"/>
      <c r="J73" s="113"/>
    </row>
    <row r="74" spans="3:6" ht="12">
      <c r="C74" s="112"/>
      <c r="D74" s="112"/>
      <c r="E74" s="113"/>
      <c r="F74" s="113"/>
    </row>
    <row r="76" spans="3:6" ht="12">
      <c r="C76" s="113"/>
      <c r="F76" s="113"/>
    </row>
    <row r="80" spans="2:3" ht="12">
      <c r="B80" s="144">
        <f>C82-C80</f>
        <v>0</v>
      </c>
      <c r="C80" s="113"/>
    </row>
    <row r="82" ht="12">
      <c r="C82" s="113"/>
    </row>
    <row r="88" ht="12">
      <c r="D88" s="113"/>
    </row>
  </sheetData>
  <mergeCells count="16">
    <mergeCell ref="D57:D58"/>
    <mergeCell ref="E57:E58"/>
    <mergeCell ref="A72:B72"/>
    <mergeCell ref="A45:B45"/>
    <mergeCell ref="A57:A58"/>
    <mergeCell ref="C57:C58"/>
    <mergeCell ref="D1:F1"/>
    <mergeCell ref="D2:F2"/>
    <mergeCell ref="D3:F3"/>
    <mergeCell ref="F57:F58"/>
    <mergeCell ref="A6:F6"/>
    <mergeCell ref="E4:F4"/>
    <mergeCell ref="A10:A11"/>
    <mergeCell ref="B10:B11"/>
    <mergeCell ref="C10:C11"/>
    <mergeCell ref="F10:F11"/>
  </mergeCells>
  <printOptions/>
  <pageMargins left="0.5905511811023623" right="0.5905511811023623" top="0.3937007874015748" bottom="0.21" header="0.1968503937007874" footer="0.11811023622047245"/>
  <pageSetup horizontalDpi="600" verticalDpi="600" orientation="portrait" paperSize="9" scale="90" r:id="rId1"/>
  <rowBreaks count="1" manualBreakCount="1">
    <brk id="4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83"/>
  <sheetViews>
    <sheetView view="pageBreakPreview" zoomScale="75" zoomScaleNormal="65" zoomScaleSheetLayoutView="75" workbookViewId="0" topLeftCell="A8">
      <pane ySplit="4" topLeftCell="BM89" activePane="bottomLeft" state="frozen"/>
      <selection pane="topLeft" activeCell="H32" sqref="H32"/>
      <selection pane="bottomLeft" activeCell="C91" sqref="C91"/>
    </sheetView>
  </sheetViews>
  <sheetFormatPr defaultColWidth="9.00390625" defaultRowHeight="12.75"/>
  <cols>
    <col min="1" max="1" width="6.875" style="63" customWidth="1"/>
    <col min="2" max="2" width="44.375" style="2" customWidth="1"/>
    <col min="3" max="3" width="11.625" style="3" customWidth="1"/>
    <col min="4" max="4" width="10.75390625" style="3" customWidth="1"/>
    <col min="5" max="5" width="9.25390625" style="3" customWidth="1"/>
    <col min="6" max="6" width="11.125" style="3" customWidth="1"/>
    <col min="7" max="7" width="8.25390625" style="3" customWidth="1"/>
    <col min="8" max="8" width="9.375" style="3" customWidth="1"/>
    <col min="9" max="9" width="8.00390625" style="3" customWidth="1"/>
    <col min="10" max="10" width="6.125" style="3" customWidth="1"/>
    <col min="11" max="11" width="12.375" style="3" customWidth="1"/>
    <col min="12" max="12" width="10.75390625" style="3" customWidth="1"/>
    <col min="13" max="16384" width="8.875" style="3" customWidth="1"/>
  </cols>
  <sheetData>
    <row r="1" spans="8:10" ht="12" customHeight="1">
      <c r="H1" s="218" t="s">
        <v>48</v>
      </c>
      <c r="I1" s="218"/>
      <c r="J1" s="218"/>
    </row>
    <row r="2" spans="8:10" ht="16.5" customHeight="1">
      <c r="H2" s="5" t="s">
        <v>49</v>
      </c>
      <c r="I2" s="5"/>
      <c r="J2" s="5"/>
    </row>
    <row r="3" spans="8:11" ht="12.75">
      <c r="H3" s="201" t="s">
        <v>288</v>
      </c>
      <c r="I3" s="201"/>
      <c r="J3" s="201"/>
      <c r="K3" s="201"/>
    </row>
    <row r="5" spans="2:8" ht="13.5" customHeight="1">
      <c r="B5" s="1"/>
      <c r="C5" s="7"/>
      <c r="D5" s="7"/>
      <c r="E5" s="7"/>
      <c r="F5" s="7"/>
      <c r="G5" s="7"/>
      <c r="H5" s="7"/>
    </row>
    <row r="6" spans="1:11" ht="15.75">
      <c r="A6" s="219" t="s">
        <v>185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2" ht="15" customHeight="1">
      <c r="A7" s="219" t="s">
        <v>50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8"/>
    </row>
    <row r="8" spans="6:12" ht="13.5" thickBot="1">
      <c r="F8" s="9"/>
      <c r="G8" s="9"/>
      <c r="I8" s="10"/>
      <c r="J8" s="11"/>
      <c r="K8" s="3" t="s">
        <v>187</v>
      </c>
      <c r="L8" s="8"/>
    </row>
    <row r="9" spans="1:12" ht="25.5" customHeight="1" thickBot="1">
      <c r="A9" s="220" t="s">
        <v>51</v>
      </c>
      <c r="B9" s="223" t="s">
        <v>52</v>
      </c>
      <c r="C9" s="225" t="s">
        <v>53</v>
      </c>
      <c r="D9" s="226"/>
      <c r="E9" s="226"/>
      <c r="F9" s="226"/>
      <c r="G9" s="227"/>
      <c r="H9" s="228" t="s">
        <v>54</v>
      </c>
      <c r="I9" s="229"/>
      <c r="J9" s="230"/>
      <c r="K9" s="223" t="s">
        <v>55</v>
      </c>
      <c r="L9" s="12"/>
    </row>
    <row r="10" spans="1:12" ht="24" customHeight="1" thickBot="1">
      <c r="A10" s="221"/>
      <c r="B10" s="224"/>
      <c r="C10" s="190" t="s">
        <v>56</v>
      </c>
      <c r="D10" s="190" t="s">
        <v>57</v>
      </c>
      <c r="E10" s="211"/>
      <c r="F10" s="211"/>
      <c r="G10" s="212"/>
      <c r="H10" s="213" t="s">
        <v>56</v>
      </c>
      <c r="I10" s="13" t="s">
        <v>58</v>
      </c>
      <c r="J10" s="214" t="s">
        <v>59</v>
      </c>
      <c r="K10" s="224"/>
      <c r="L10" s="12"/>
    </row>
    <row r="11" spans="1:12" ht="96.75" thickBot="1">
      <c r="A11" s="222"/>
      <c r="B11" s="224"/>
      <c r="C11" s="213"/>
      <c r="D11" s="14" t="s">
        <v>60</v>
      </c>
      <c r="E11" s="15" t="s">
        <v>61</v>
      </c>
      <c r="F11" s="15" t="s">
        <v>62</v>
      </c>
      <c r="G11" s="15" t="s">
        <v>63</v>
      </c>
      <c r="H11" s="213"/>
      <c r="I11" s="15" t="s">
        <v>64</v>
      </c>
      <c r="J11" s="215"/>
      <c r="K11" s="231"/>
      <c r="L11" s="12"/>
    </row>
    <row r="12" spans="1:12" ht="13.5" thickBot="1">
      <c r="A12" s="64">
        <v>1</v>
      </c>
      <c r="B12" s="16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8"/>
    </row>
    <row r="13" spans="1:12" s="19" customFormat="1" ht="15.75" customHeight="1" thickBot="1">
      <c r="A13" s="155" t="s">
        <v>65</v>
      </c>
      <c r="B13" s="156" t="s">
        <v>66</v>
      </c>
      <c r="C13" s="157">
        <f>C14</f>
        <v>3890</v>
      </c>
      <c r="D13" s="157">
        <f>D14</f>
        <v>573.1</v>
      </c>
      <c r="E13" s="157">
        <f aca="true" t="shared" si="0" ref="E13:J13">E14</f>
        <v>991.6</v>
      </c>
      <c r="F13" s="157">
        <f>F14</f>
        <v>2325.2999999999997</v>
      </c>
      <c r="G13" s="157">
        <f t="shared" si="0"/>
        <v>0</v>
      </c>
      <c r="H13" s="157">
        <f t="shared" si="0"/>
        <v>0</v>
      </c>
      <c r="I13" s="157">
        <f t="shared" si="0"/>
        <v>0</v>
      </c>
      <c r="J13" s="157">
        <f t="shared" si="0"/>
        <v>0</v>
      </c>
      <c r="K13" s="158">
        <f>C13+H13</f>
        <v>3890</v>
      </c>
      <c r="L13" s="18"/>
    </row>
    <row r="14" spans="1:13" ht="12.75">
      <c r="A14" s="159" t="s">
        <v>67</v>
      </c>
      <c r="B14" s="160" t="s">
        <v>68</v>
      </c>
      <c r="C14" s="161">
        <f>D14+E14+F14+G14</f>
        <v>3890</v>
      </c>
      <c r="D14" s="161">
        <f>539.7+19.4+14</f>
        <v>573.1</v>
      </c>
      <c r="E14" s="161">
        <v>991.6</v>
      </c>
      <c r="F14" s="161">
        <f>2237.5+80.6+7.2</f>
        <v>2325.2999999999997</v>
      </c>
      <c r="G14" s="161"/>
      <c r="H14" s="161"/>
      <c r="I14" s="161"/>
      <c r="J14" s="161"/>
      <c r="K14" s="162">
        <f aca="true" t="shared" si="1" ref="K14:K93">C14+H14</f>
        <v>3890</v>
      </c>
      <c r="L14" s="8"/>
      <c r="M14" s="21"/>
    </row>
    <row r="15" spans="1:13" ht="25.5" customHeight="1">
      <c r="A15" s="67" t="s">
        <v>69</v>
      </c>
      <c r="B15" s="26" t="s">
        <v>70</v>
      </c>
      <c r="C15" s="45">
        <f>C16</f>
        <v>6813.1</v>
      </c>
      <c r="D15" s="45">
        <f aca="true" t="shared" si="2" ref="D15:I15">D16</f>
        <v>0</v>
      </c>
      <c r="E15" s="45">
        <f t="shared" si="2"/>
        <v>0</v>
      </c>
      <c r="F15" s="45">
        <f t="shared" si="2"/>
        <v>6190</v>
      </c>
      <c r="G15" s="45">
        <f t="shared" si="2"/>
        <v>623.1</v>
      </c>
      <c r="H15" s="45">
        <f t="shared" si="2"/>
        <v>0</v>
      </c>
      <c r="I15" s="45">
        <f t="shared" si="2"/>
        <v>0</v>
      </c>
      <c r="J15" s="45"/>
      <c r="K15" s="68">
        <f t="shared" si="1"/>
        <v>6813.1</v>
      </c>
      <c r="L15" s="8"/>
      <c r="M15" s="21"/>
    </row>
    <row r="16" spans="1:13" ht="25.5" customHeight="1">
      <c r="A16" s="66" t="s">
        <v>71</v>
      </c>
      <c r="B16" s="48" t="s">
        <v>72</v>
      </c>
      <c r="C16" s="30">
        <f>D16+E16+F16+G16</f>
        <v>6813.1</v>
      </c>
      <c r="D16" s="30"/>
      <c r="E16" s="30"/>
      <c r="F16" s="30">
        <f>4200-900+800+1500+590</f>
        <v>6190</v>
      </c>
      <c r="G16" s="30">
        <f>590.1-7+30+1.1-1.1+10</f>
        <v>623.1</v>
      </c>
      <c r="H16" s="30"/>
      <c r="I16" s="30"/>
      <c r="J16" s="30"/>
      <c r="K16" s="70">
        <f t="shared" si="1"/>
        <v>6813.1</v>
      </c>
      <c r="L16" s="8"/>
      <c r="M16" s="21"/>
    </row>
    <row r="17" spans="1:12" s="21" customFormat="1" ht="18.75" customHeight="1">
      <c r="A17" s="67" t="s">
        <v>73</v>
      </c>
      <c r="B17" s="142" t="s">
        <v>74</v>
      </c>
      <c r="C17" s="141">
        <f>D17+E17+F17+G17</f>
        <v>109254.3</v>
      </c>
      <c r="D17" s="141">
        <f>41584.4+1828.4-70.8</f>
        <v>43342</v>
      </c>
      <c r="E17" s="141">
        <f>9610+4.6-191.7</f>
        <v>9422.9</v>
      </c>
      <c r="F17" s="141">
        <f>43696.4+250+14.9+1600+186.5+2159+1900+50+1587.4+262.5+240.3</f>
        <v>51947.00000000001</v>
      </c>
      <c r="G17" s="141">
        <f>4713.4+46+5-82.8-99.7-39.5</f>
        <v>4542.4</v>
      </c>
      <c r="H17" s="141">
        <f>2903.6+266.6+891.8+197+64.8</f>
        <v>4323.8</v>
      </c>
      <c r="I17" s="141"/>
      <c r="J17" s="141"/>
      <c r="K17" s="143">
        <f t="shared" si="1"/>
        <v>113578.1</v>
      </c>
      <c r="L17" s="23"/>
    </row>
    <row r="18" spans="1:12" s="21" customFormat="1" ht="16.5" customHeight="1">
      <c r="A18" s="67" t="s">
        <v>75</v>
      </c>
      <c r="B18" s="142" t="s">
        <v>76</v>
      </c>
      <c r="C18" s="141">
        <f>D18+E18+F18+G18</f>
        <v>245964.9</v>
      </c>
      <c r="D18" s="141">
        <f>87906.8+4207+2772-92.8</f>
        <v>94793</v>
      </c>
      <c r="E18" s="141">
        <f>17357.2+0.8-1100</f>
        <v>16258</v>
      </c>
      <c r="F18" s="141">
        <f>101629.8+1000+150+1200+1556.6+400+16174+1400+500+594.7+667.1+92.8</f>
        <v>125365.00000000001</v>
      </c>
      <c r="G18" s="141">
        <f>9687.9-37+7.2+38.6+9+157.7-19.4-295.1</f>
        <v>9548.900000000001</v>
      </c>
      <c r="H18" s="141">
        <f>8103+10000-10000</f>
        <v>8103</v>
      </c>
      <c r="I18" s="141">
        <f>10000-10000</f>
        <v>0</v>
      </c>
      <c r="J18" s="141"/>
      <c r="K18" s="143">
        <f t="shared" si="1"/>
        <v>254067.9</v>
      </c>
      <c r="L18" s="23"/>
    </row>
    <row r="19" spans="1:12" s="21" customFormat="1" ht="17.25" customHeight="1">
      <c r="A19" s="67" t="s">
        <v>77</v>
      </c>
      <c r="B19" s="142" t="s">
        <v>78</v>
      </c>
      <c r="C19" s="141">
        <f>C20+C21+C22+C23+C25+C26+C27+C28+C29+C30+C31+C32+C33+C34+C35+C36+C37+C38+C39+C24</f>
        <v>58781.799999999996</v>
      </c>
      <c r="D19" s="141">
        <f>D20+D21+D22+D23+D25+D26+D27+D28+D29+D30+D31+D32+D33+D34+D35+D36+D37+D38+D39</f>
        <v>16394.9</v>
      </c>
      <c r="E19" s="141">
        <f>E20+E21+E22+E23+E25+E26+E27+E28+E29+E30+E31+E32+E33+E34+E35+E36+E37+E38+E39</f>
        <v>5251.700000000001</v>
      </c>
      <c r="F19" s="141">
        <f>F20+F21+F22+F23+F25+F26+F27+F28+F29+F30+F31+F32+F33+F34+F35+F36+F37+F38+F39+F24</f>
        <v>37061.9</v>
      </c>
      <c r="G19" s="141">
        <f>G20+G21+G22+G23+G25+G26+G27+G28+G29+G30+G31+G32+G33+G34+G35+G36+G37+G38+G39</f>
        <v>73.3</v>
      </c>
      <c r="H19" s="141">
        <f>H20+H21+H22+H23+H25+H26+H27+H28+H29+H30+H31+H32+H33+H34+H35+H36+H37+H38+H39+H24</f>
        <v>6757.1</v>
      </c>
      <c r="I19" s="141">
        <f>I20+I21+I22+I23+I25+I26+I27+I28+I29+I30+I31+I32+I33+I34+I35+I36+I37+I38+I39</f>
        <v>0</v>
      </c>
      <c r="J19" s="141"/>
      <c r="K19" s="143">
        <f>C19+H19</f>
        <v>65538.9</v>
      </c>
      <c r="L19" s="23"/>
    </row>
    <row r="20" spans="1:13" ht="12.75">
      <c r="A20" s="66" t="s">
        <v>79</v>
      </c>
      <c r="B20" s="20" t="s">
        <v>80</v>
      </c>
      <c r="C20" s="30">
        <f>D20+E20+F20</f>
        <v>9.6</v>
      </c>
      <c r="D20" s="30"/>
      <c r="E20" s="30"/>
      <c r="F20" s="30">
        <v>9.6</v>
      </c>
      <c r="G20" s="30"/>
      <c r="H20" s="30"/>
      <c r="I20" s="30"/>
      <c r="J20" s="30"/>
      <c r="K20" s="70">
        <f t="shared" si="1"/>
        <v>9.6</v>
      </c>
      <c r="L20" s="8"/>
      <c r="M20" s="21"/>
    </row>
    <row r="21" spans="1:13" ht="25.5" hidden="1">
      <c r="A21" s="66" t="s">
        <v>266</v>
      </c>
      <c r="B21" s="20" t="s">
        <v>267</v>
      </c>
      <c r="C21" s="30">
        <f>D21+E21+F21</f>
        <v>0</v>
      </c>
      <c r="D21" s="30"/>
      <c r="E21" s="30"/>
      <c r="F21" s="30"/>
      <c r="G21" s="30"/>
      <c r="H21" s="30"/>
      <c r="I21" s="30"/>
      <c r="J21" s="30"/>
      <c r="K21" s="70">
        <f t="shared" si="1"/>
        <v>0</v>
      </c>
      <c r="L21" s="8"/>
      <c r="M21" s="21"/>
    </row>
    <row r="22" spans="1:13" ht="25.5" customHeight="1">
      <c r="A22" s="66" t="s">
        <v>81</v>
      </c>
      <c r="B22" s="20" t="s">
        <v>82</v>
      </c>
      <c r="C22" s="30">
        <f>D22+E22+F22+G22</f>
        <v>1186.7</v>
      </c>
      <c r="D22" s="30"/>
      <c r="E22" s="30"/>
      <c r="F22" s="30">
        <f>27+50+720+13+256+10+30+56.4</f>
        <v>1162.4</v>
      </c>
      <c r="G22" s="30">
        <f>4.9+19.4</f>
        <v>24.299999999999997</v>
      </c>
      <c r="H22" s="30">
        <v>205</v>
      </c>
      <c r="I22" s="30"/>
      <c r="J22" s="30"/>
      <c r="K22" s="70">
        <f t="shared" si="1"/>
        <v>1391.7</v>
      </c>
      <c r="L22" s="8"/>
      <c r="M22" s="21"/>
    </row>
    <row r="23" spans="1:13" ht="38.25" customHeight="1">
      <c r="A23" s="66" t="s">
        <v>83</v>
      </c>
      <c r="B23" s="20" t="s">
        <v>84</v>
      </c>
      <c r="C23" s="30">
        <f aca="true" t="shared" si="3" ref="C23:C39">D23+E23+F23</f>
        <v>1324.2</v>
      </c>
      <c r="D23" s="30"/>
      <c r="E23" s="30"/>
      <c r="F23" s="30">
        <f>518.7+493.7+311.8</f>
        <v>1324.2</v>
      </c>
      <c r="G23" s="30"/>
      <c r="H23" s="30"/>
      <c r="I23" s="30"/>
      <c r="J23" s="30"/>
      <c r="K23" s="70">
        <f t="shared" si="1"/>
        <v>1324.2</v>
      </c>
      <c r="L23" s="8"/>
      <c r="M23" s="21"/>
    </row>
    <row r="24" spans="1:13" ht="26.25" customHeight="1">
      <c r="A24" s="66" t="s">
        <v>25</v>
      </c>
      <c r="B24" s="20" t="s">
        <v>26</v>
      </c>
      <c r="C24" s="30">
        <f t="shared" si="3"/>
        <v>1537.8</v>
      </c>
      <c r="D24" s="30"/>
      <c r="E24" s="30"/>
      <c r="F24" s="30">
        <f>1068.3+469.5</f>
        <v>1537.8</v>
      </c>
      <c r="G24" s="30"/>
      <c r="H24" s="30"/>
      <c r="I24" s="30"/>
      <c r="J24" s="30"/>
      <c r="K24" s="70">
        <f t="shared" si="1"/>
        <v>1537.8</v>
      </c>
      <c r="L24" s="8"/>
      <c r="M24" s="21"/>
    </row>
    <row r="25" spans="1:13" ht="12.75">
      <c r="A25" s="66" t="s">
        <v>268</v>
      </c>
      <c r="B25" s="20" t="s">
        <v>269</v>
      </c>
      <c r="C25" s="30">
        <f t="shared" si="3"/>
        <v>8169.5</v>
      </c>
      <c r="D25" s="30">
        <f>2746.1+171.7-34</f>
        <v>2883.7999999999997</v>
      </c>
      <c r="E25" s="30">
        <f>657.8+31</f>
        <v>688.8</v>
      </c>
      <c r="F25" s="30">
        <f>4220.3+63.6+502-158-31</f>
        <v>4596.900000000001</v>
      </c>
      <c r="G25" s="30"/>
      <c r="H25" s="30">
        <v>435.4</v>
      </c>
      <c r="I25" s="30"/>
      <c r="J25" s="30"/>
      <c r="K25" s="70">
        <f t="shared" si="1"/>
        <v>8604.9</v>
      </c>
      <c r="L25" s="8"/>
      <c r="M25" s="21"/>
    </row>
    <row r="26" spans="1:13" ht="12.75">
      <c r="A26" s="66" t="s">
        <v>89</v>
      </c>
      <c r="B26" s="20" t="s">
        <v>90</v>
      </c>
      <c r="C26" s="30">
        <f>D26+E26+F26</f>
        <v>5815.5</v>
      </c>
      <c r="D26" s="30">
        <f>2096.7-107</f>
        <v>1989.6999999999998</v>
      </c>
      <c r="E26" s="30">
        <f>669-102.2</f>
        <v>566.8</v>
      </c>
      <c r="F26" s="30">
        <f>3383-139.8+15.8</f>
        <v>3259</v>
      </c>
      <c r="G26" s="30"/>
      <c r="H26" s="30">
        <v>13.2</v>
      </c>
      <c r="I26" s="30"/>
      <c r="J26" s="30"/>
      <c r="K26" s="70">
        <f>C26+H26</f>
        <v>5828.7</v>
      </c>
      <c r="L26" s="8"/>
      <c r="M26" s="21"/>
    </row>
    <row r="27" spans="1:13" ht="25.5">
      <c r="A27" s="66" t="s">
        <v>270</v>
      </c>
      <c r="B27" s="20" t="s">
        <v>271</v>
      </c>
      <c r="C27" s="30">
        <f>D27+E27+F27+G27</f>
        <v>36069.299999999996</v>
      </c>
      <c r="D27" s="30">
        <f>9812.9+494.8+74.4+34</f>
        <v>10416.099999999999</v>
      </c>
      <c r="E27" s="30">
        <f>3796.7+78.8</f>
        <v>3875.5</v>
      </c>
      <c r="F27" s="30">
        <f>19224.8+183.1+2716+410-502-153.2-150</f>
        <v>21728.699999999997</v>
      </c>
      <c r="G27" s="30">
        <v>49</v>
      </c>
      <c r="H27" s="30">
        <v>5906.5</v>
      </c>
      <c r="I27" s="30"/>
      <c r="J27" s="30"/>
      <c r="K27" s="70">
        <f>C27+H27</f>
        <v>41975.799999999996</v>
      </c>
      <c r="L27" s="8"/>
      <c r="M27" s="21"/>
    </row>
    <row r="28" spans="1:13" ht="25.5">
      <c r="A28" s="66" t="s">
        <v>239</v>
      </c>
      <c r="B28" s="20" t="s">
        <v>240</v>
      </c>
      <c r="C28" s="30">
        <f t="shared" si="3"/>
        <v>281.9</v>
      </c>
      <c r="D28" s="30">
        <v>155.7</v>
      </c>
      <c r="E28" s="30">
        <v>11</v>
      </c>
      <c r="F28" s="30">
        <v>115.2</v>
      </c>
      <c r="G28" s="30"/>
      <c r="H28" s="30"/>
      <c r="I28" s="30"/>
      <c r="J28" s="30"/>
      <c r="K28" s="70">
        <f t="shared" si="1"/>
        <v>281.9</v>
      </c>
      <c r="L28" s="8"/>
      <c r="M28" s="21"/>
    </row>
    <row r="29" spans="1:13" ht="25.5">
      <c r="A29" s="66" t="s">
        <v>241</v>
      </c>
      <c r="B29" s="20" t="s">
        <v>272</v>
      </c>
      <c r="C29" s="30">
        <f t="shared" si="3"/>
        <v>152.7</v>
      </c>
      <c r="D29" s="30"/>
      <c r="E29" s="30">
        <v>3.5</v>
      </c>
      <c r="F29" s="30">
        <f>152.7-3.5</f>
        <v>149.2</v>
      </c>
      <c r="G29" s="30"/>
      <c r="H29" s="30"/>
      <c r="I29" s="30"/>
      <c r="J29" s="30"/>
      <c r="K29" s="70">
        <f t="shared" si="1"/>
        <v>152.7</v>
      </c>
      <c r="L29" s="8"/>
      <c r="M29" s="21"/>
    </row>
    <row r="30" spans="1:13" ht="25.5">
      <c r="A30" s="66" t="s">
        <v>242</v>
      </c>
      <c r="B30" s="20" t="s">
        <v>273</v>
      </c>
      <c r="C30" s="30">
        <f t="shared" si="3"/>
        <v>511.8</v>
      </c>
      <c r="D30" s="30"/>
      <c r="E30" s="30"/>
      <c r="F30" s="30">
        <f>374.1-48.1+82.1+83.7+20</f>
        <v>511.8</v>
      </c>
      <c r="G30" s="30"/>
      <c r="H30" s="30"/>
      <c r="I30" s="30"/>
      <c r="J30" s="30"/>
      <c r="K30" s="70">
        <f t="shared" si="1"/>
        <v>511.8</v>
      </c>
      <c r="L30" s="8"/>
      <c r="M30" s="21"/>
    </row>
    <row r="31" spans="1:13" ht="25.5">
      <c r="A31" s="66" t="s">
        <v>243</v>
      </c>
      <c r="B31" s="20" t="s">
        <v>274</v>
      </c>
      <c r="C31" s="30">
        <f t="shared" si="3"/>
        <v>30</v>
      </c>
      <c r="D31" s="30"/>
      <c r="E31" s="30"/>
      <c r="F31" s="30">
        <v>30</v>
      </c>
      <c r="G31" s="30"/>
      <c r="H31" s="30"/>
      <c r="I31" s="30"/>
      <c r="J31" s="30"/>
      <c r="K31" s="70">
        <f t="shared" si="1"/>
        <v>30</v>
      </c>
      <c r="L31" s="8"/>
      <c r="M31" s="21"/>
    </row>
    <row r="32" spans="1:13" ht="25.5">
      <c r="A32" s="66" t="s">
        <v>245</v>
      </c>
      <c r="B32" s="20" t="s">
        <v>246</v>
      </c>
      <c r="C32" s="30">
        <f t="shared" si="3"/>
        <v>523.4</v>
      </c>
      <c r="D32" s="30">
        <f>105.2+7.9+20.1</f>
        <v>133.20000000000002</v>
      </c>
      <c r="E32" s="30">
        <f>14+2+0.6</f>
        <v>16.6</v>
      </c>
      <c r="F32" s="30">
        <f>301.7-2+3+28+20.5-0.6+23</f>
        <v>373.59999999999997</v>
      </c>
      <c r="G32" s="30"/>
      <c r="H32" s="30"/>
      <c r="I32" s="30"/>
      <c r="J32" s="30"/>
      <c r="K32" s="70">
        <f t="shared" si="1"/>
        <v>523.4</v>
      </c>
      <c r="L32" s="8"/>
      <c r="M32" s="21"/>
    </row>
    <row r="33" spans="1:13" ht="12.75">
      <c r="A33" s="66" t="s">
        <v>247</v>
      </c>
      <c r="B33" s="20" t="s">
        <v>248</v>
      </c>
      <c r="C33" s="30">
        <f t="shared" si="3"/>
        <v>339.29999999999995</v>
      </c>
      <c r="D33" s="30">
        <f>38.1+0.7</f>
        <v>38.800000000000004</v>
      </c>
      <c r="E33" s="30">
        <v>21.1</v>
      </c>
      <c r="F33" s="30">
        <f>150-59.2+0.2+150+38.4</f>
        <v>279.4</v>
      </c>
      <c r="G33" s="30"/>
      <c r="H33" s="30"/>
      <c r="I33" s="30"/>
      <c r="J33" s="30"/>
      <c r="K33" s="70">
        <f t="shared" si="1"/>
        <v>339.29999999999995</v>
      </c>
      <c r="L33" s="8"/>
      <c r="M33" s="21"/>
    </row>
    <row r="34" spans="1:13" ht="25.5">
      <c r="A34" s="66" t="s">
        <v>249</v>
      </c>
      <c r="B34" s="20" t="s">
        <v>250</v>
      </c>
      <c r="C34" s="30">
        <f t="shared" si="3"/>
        <v>60</v>
      </c>
      <c r="D34" s="30"/>
      <c r="E34" s="30"/>
      <c r="F34" s="30">
        <f>40+20</f>
        <v>60</v>
      </c>
      <c r="G34" s="30"/>
      <c r="H34" s="30"/>
      <c r="I34" s="30"/>
      <c r="J34" s="30"/>
      <c r="K34" s="70">
        <f t="shared" si="1"/>
        <v>60</v>
      </c>
      <c r="L34" s="8"/>
      <c r="M34" s="21"/>
    </row>
    <row r="35" spans="1:13" ht="91.5" customHeight="1">
      <c r="A35" s="66" t="s">
        <v>85</v>
      </c>
      <c r="B35" s="20" t="s">
        <v>192</v>
      </c>
      <c r="C35" s="30">
        <f>D35+E35+F35</f>
        <v>500</v>
      </c>
      <c r="D35" s="30"/>
      <c r="E35" s="30"/>
      <c r="F35" s="30">
        <v>500</v>
      </c>
      <c r="G35" s="30"/>
      <c r="H35" s="30"/>
      <c r="I35" s="30"/>
      <c r="J35" s="30"/>
      <c r="K35" s="70">
        <f>C35+H35</f>
        <v>500</v>
      </c>
      <c r="L35" s="8"/>
      <c r="M35" s="21"/>
    </row>
    <row r="36" spans="1:13" ht="25.5">
      <c r="A36" s="66" t="s">
        <v>86</v>
      </c>
      <c r="B36" s="20" t="s">
        <v>87</v>
      </c>
      <c r="C36" s="30">
        <f>D36+E36+F36</f>
        <v>100.1</v>
      </c>
      <c r="D36" s="30"/>
      <c r="E36" s="30"/>
      <c r="F36" s="30">
        <f>50.1+50</f>
        <v>100.1</v>
      </c>
      <c r="G36" s="30"/>
      <c r="H36" s="30"/>
      <c r="I36" s="30"/>
      <c r="J36" s="30"/>
      <c r="K36" s="70">
        <f>C36+H36</f>
        <v>100.1</v>
      </c>
      <c r="L36" s="8"/>
      <c r="M36" s="21"/>
    </row>
    <row r="37" spans="1:13" ht="25.5">
      <c r="A37" s="66" t="s">
        <v>275</v>
      </c>
      <c r="B37" s="20" t="s">
        <v>276</v>
      </c>
      <c r="C37" s="30">
        <f>D37+E37+F37</f>
        <v>12.1</v>
      </c>
      <c r="D37" s="30">
        <v>8.6</v>
      </c>
      <c r="E37" s="30"/>
      <c r="F37" s="30">
        <v>3.5</v>
      </c>
      <c r="G37" s="30"/>
      <c r="H37" s="30"/>
      <c r="I37" s="30"/>
      <c r="J37" s="30"/>
      <c r="K37" s="70">
        <f>C37+H37</f>
        <v>12.1</v>
      </c>
      <c r="L37" s="8"/>
      <c r="M37" s="21"/>
    </row>
    <row r="38" spans="1:13" ht="12.75">
      <c r="A38" s="66" t="s">
        <v>251</v>
      </c>
      <c r="B38" s="20" t="s">
        <v>252</v>
      </c>
      <c r="C38" s="30">
        <f t="shared" si="3"/>
        <v>26.700000000000003</v>
      </c>
      <c r="D38" s="30">
        <f>16.6+0.9</f>
        <v>17.5</v>
      </c>
      <c r="E38" s="30"/>
      <c r="F38" s="30">
        <f>8.9+0.3</f>
        <v>9.200000000000001</v>
      </c>
      <c r="G38" s="30"/>
      <c r="H38" s="30"/>
      <c r="I38" s="30"/>
      <c r="J38" s="30"/>
      <c r="K38" s="70">
        <f t="shared" si="1"/>
        <v>26.700000000000003</v>
      </c>
      <c r="L38" s="8"/>
      <c r="M38" s="21"/>
    </row>
    <row r="39" spans="1:13" ht="27.75" customHeight="1">
      <c r="A39" s="66" t="s">
        <v>88</v>
      </c>
      <c r="B39" s="24" t="s">
        <v>278</v>
      </c>
      <c r="C39" s="30">
        <f t="shared" si="3"/>
        <v>2131.2</v>
      </c>
      <c r="D39" s="30">
        <f>750.8+0.7</f>
        <v>751.5</v>
      </c>
      <c r="E39" s="30">
        <v>68.4</v>
      </c>
      <c r="F39" s="30">
        <f>1153+0.3+158</f>
        <v>1311.3</v>
      </c>
      <c r="G39" s="30"/>
      <c r="H39" s="30">
        <v>197</v>
      </c>
      <c r="I39" s="30"/>
      <c r="J39" s="30"/>
      <c r="K39" s="70">
        <f t="shared" si="1"/>
        <v>2328.2</v>
      </c>
      <c r="L39" s="8"/>
      <c r="M39" s="21"/>
    </row>
    <row r="40" spans="1:12" s="21" customFormat="1" ht="12.75">
      <c r="A40" s="67">
        <v>100000</v>
      </c>
      <c r="B40" s="26" t="s">
        <v>91</v>
      </c>
      <c r="C40" s="45">
        <f>D40+E40+F40+G40</f>
        <v>42251.100000000006</v>
      </c>
      <c r="D40" s="45"/>
      <c r="E40" s="45"/>
      <c r="F40" s="45">
        <f>10000+1000+5100+14200+1194-1600-1194+501.3+1000+1194+1500-1194-1000+4000</f>
        <v>34701.3</v>
      </c>
      <c r="G40" s="45">
        <f>8537.5-765.3+358.1+21-374.1-227.4</f>
        <v>7549.8</v>
      </c>
      <c r="H40" s="45"/>
      <c r="I40" s="45"/>
      <c r="J40" s="45"/>
      <c r="K40" s="68">
        <f t="shared" si="1"/>
        <v>42251.100000000006</v>
      </c>
      <c r="L40" s="23"/>
    </row>
    <row r="41" spans="1:12" s="21" customFormat="1" ht="38.25">
      <c r="A41" s="66" t="s">
        <v>37</v>
      </c>
      <c r="B41" s="20" t="s">
        <v>36</v>
      </c>
      <c r="C41" s="30">
        <f>F41</f>
        <v>3500</v>
      </c>
      <c r="D41" s="30"/>
      <c r="E41" s="30"/>
      <c r="F41" s="30">
        <v>3500</v>
      </c>
      <c r="G41" s="45"/>
      <c r="H41" s="45"/>
      <c r="I41" s="45"/>
      <c r="J41" s="45"/>
      <c r="K41" s="68">
        <f t="shared" si="1"/>
        <v>3500</v>
      </c>
      <c r="L41" s="23"/>
    </row>
    <row r="42" spans="1:12" s="21" customFormat="1" ht="15" customHeight="1">
      <c r="A42" s="62">
        <v>110000</v>
      </c>
      <c r="B42" s="26" t="s">
        <v>233</v>
      </c>
      <c r="C42" s="45">
        <f>D42+E42+F42+G42</f>
        <v>40123.09999999999</v>
      </c>
      <c r="D42" s="45">
        <f>1703.5+44+18.5</f>
        <v>1766</v>
      </c>
      <c r="E42" s="45">
        <v>418.2</v>
      </c>
      <c r="F42" s="45">
        <f>25352.3+3995.3+555.3+930+1314.1+558.5-40+1765.4</f>
        <v>34430.899999999994</v>
      </c>
      <c r="G42" s="45">
        <f>G43+G44+G45</f>
        <v>3508</v>
      </c>
      <c r="H42" s="45">
        <v>465</v>
      </c>
      <c r="I42" s="45"/>
      <c r="J42" s="45"/>
      <c r="K42" s="68">
        <f t="shared" si="1"/>
        <v>40588.09999999999</v>
      </c>
      <c r="L42" s="23"/>
    </row>
    <row r="43" spans="1:13" ht="15" customHeight="1">
      <c r="A43" s="69" t="s">
        <v>229</v>
      </c>
      <c r="B43" s="20" t="s">
        <v>231</v>
      </c>
      <c r="C43" s="30">
        <f>D43+E43+F43+G43</f>
        <v>25803.7</v>
      </c>
      <c r="D43" s="30"/>
      <c r="E43" s="30"/>
      <c r="F43" s="30">
        <f>14416.9+3724+468.3+31.1+430+1000+180+353.4+1700</f>
        <v>22303.7</v>
      </c>
      <c r="G43" s="30">
        <f>2000+500+1000</f>
        <v>3500</v>
      </c>
      <c r="H43" s="30"/>
      <c r="I43" s="30"/>
      <c r="J43" s="30"/>
      <c r="K43" s="70">
        <f t="shared" si="1"/>
        <v>25803.7</v>
      </c>
      <c r="L43" s="8"/>
      <c r="M43" s="21"/>
    </row>
    <row r="44" spans="1:13" ht="25.5">
      <c r="A44" s="69" t="s">
        <v>230</v>
      </c>
      <c r="B44" s="20" t="s">
        <v>299</v>
      </c>
      <c r="C44" s="30">
        <f>D44+E44+F44+G44</f>
        <v>7576.299999999999</v>
      </c>
      <c r="D44" s="30"/>
      <c r="E44" s="30"/>
      <c r="F44" s="30">
        <f>6736+98+65.3-81.1+500+122.7-100+199.4+28</f>
        <v>7568.299999999999</v>
      </c>
      <c r="G44" s="30">
        <f>56-3-45</f>
        <v>8</v>
      </c>
      <c r="H44" s="30"/>
      <c r="I44" s="30"/>
      <c r="J44" s="30"/>
      <c r="K44" s="70">
        <f t="shared" si="1"/>
        <v>7576.299999999999</v>
      </c>
      <c r="L44" s="8"/>
      <c r="M44" s="21"/>
    </row>
    <row r="45" spans="1:13" ht="12.75">
      <c r="A45" s="69">
        <v>110300</v>
      </c>
      <c r="B45" s="20" t="s">
        <v>92</v>
      </c>
      <c r="C45" s="30">
        <f>D45+E45+F45</f>
        <v>304.3</v>
      </c>
      <c r="D45" s="30"/>
      <c r="E45" s="30"/>
      <c r="F45" s="30">
        <f>200+49+5.3+50</f>
        <v>304.3</v>
      </c>
      <c r="G45" s="30"/>
      <c r="H45" s="30"/>
      <c r="I45" s="30"/>
      <c r="J45" s="30"/>
      <c r="K45" s="70">
        <f t="shared" si="1"/>
        <v>304.3</v>
      </c>
      <c r="L45" s="8"/>
      <c r="M45" s="21"/>
    </row>
    <row r="46" spans="1:12" s="21" customFormat="1" ht="12.75">
      <c r="A46" s="62">
        <v>120000</v>
      </c>
      <c r="B46" s="55" t="s">
        <v>93</v>
      </c>
      <c r="C46" s="45">
        <f>C47+C48</f>
        <v>5403.3</v>
      </c>
      <c r="D46" s="45">
        <f>D47+D48</f>
        <v>0</v>
      </c>
      <c r="E46" s="45">
        <f>E47+E48</f>
        <v>0</v>
      </c>
      <c r="F46" s="45">
        <f>F47+F48</f>
        <v>4298.3</v>
      </c>
      <c r="G46" s="45">
        <f>G47+G48</f>
        <v>1105</v>
      </c>
      <c r="H46" s="45"/>
      <c r="I46" s="45"/>
      <c r="J46" s="45"/>
      <c r="K46" s="68">
        <f t="shared" si="1"/>
        <v>5403.3</v>
      </c>
      <c r="L46" s="23"/>
    </row>
    <row r="47" spans="1:13" ht="24" customHeight="1">
      <c r="A47" s="69">
        <v>120201</v>
      </c>
      <c r="B47" s="20" t="s">
        <v>94</v>
      </c>
      <c r="C47" s="30">
        <f>D47+E47+F47+G47</f>
        <v>4282</v>
      </c>
      <c r="D47" s="30"/>
      <c r="E47" s="30"/>
      <c r="F47" s="30">
        <f>4200-623-400</f>
        <v>3177</v>
      </c>
      <c r="G47" s="30">
        <f>1201-49-42-5</f>
        <v>1105</v>
      </c>
      <c r="H47" s="30"/>
      <c r="I47" s="30"/>
      <c r="J47" s="30"/>
      <c r="K47" s="70">
        <f t="shared" si="1"/>
        <v>4282</v>
      </c>
      <c r="L47" s="8"/>
      <c r="M47" s="21"/>
    </row>
    <row r="48" spans="1:13" ht="15" customHeight="1">
      <c r="A48" s="69">
        <v>120300</v>
      </c>
      <c r="B48" s="20" t="s">
        <v>95</v>
      </c>
      <c r="C48" s="30">
        <f>D48+E48+F48</f>
        <v>1121.3</v>
      </c>
      <c r="D48" s="30"/>
      <c r="E48" s="30"/>
      <c r="F48" s="30">
        <f>498.3+623</f>
        <v>1121.3</v>
      </c>
      <c r="G48" s="30"/>
      <c r="H48" s="30"/>
      <c r="I48" s="30"/>
      <c r="J48" s="30"/>
      <c r="K48" s="70">
        <f t="shared" si="1"/>
        <v>1121.3</v>
      </c>
      <c r="L48" s="8"/>
      <c r="M48" s="21"/>
    </row>
    <row r="49" spans="1:12" s="21" customFormat="1" ht="15" customHeight="1">
      <c r="A49" s="62">
        <v>130000</v>
      </c>
      <c r="B49" s="26" t="s">
        <v>96</v>
      </c>
      <c r="C49" s="45">
        <f>D49+E49+F49+G49</f>
        <v>19516.9</v>
      </c>
      <c r="D49" s="45">
        <f>1615.1+2-47+2.5</f>
        <v>1572.6</v>
      </c>
      <c r="E49" s="45">
        <f>24.8-0.8</f>
        <v>24</v>
      </c>
      <c r="F49" s="45">
        <f>14320.2+1700+234.6+335+1000-50+1050+47+7.5+310-1050</f>
        <v>17904.300000000003</v>
      </c>
      <c r="G49" s="45">
        <f>39-5-18</f>
        <v>16</v>
      </c>
      <c r="H49" s="45"/>
      <c r="I49" s="45"/>
      <c r="J49" s="45"/>
      <c r="K49" s="68">
        <f t="shared" si="1"/>
        <v>19516.9</v>
      </c>
      <c r="L49" s="23"/>
    </row>
    <row r="50" spans="1:12" s="21" customFormat="1" ht="15" customHeight="1">
      <c r="A50" s="62">
        <v>150000</v>
      </c>
      <c r="B50" s="26" t="s">
        <v>97</v>
      </c>
      <c r="C50" s="45">
        <f>C51+C53+C54+C55+C52</f>
        <v>1194</v>
      </c>
      <c r="D50" s="45">
        <f>D51+D53+D54+D55+D52</f>
        <v>0</v>
      </c>
      <c r="E50" s="45">
        <f>E51+E53+E54+E55+E52</f>
        <v>0</v>
      </c>
      <c r="F50" s="45">
        <f>F51+F53+F54+F55+F52</f>
        <v>1194</v>
      </c>
      <c r="G50" s="45">
        <f>G51+G53+G54+G55+G52</f>
        <v>0</v>
      </c>
      <c r="H50" s="45">
        <f>H51+H53+H54+H55+H52+H56</f>
        <v>72807.3</v>
      </c>
      <c r="I50" s="45">
        <f>I51+I53+I54+I55+I52+I56</f>
        <v>72807.3</v>
      </c>
      <c r="J50" s="45">
        <f>J51</f>
        <v>556.6</v>
      </c>
      <c r="K50" s="68">
        <f>H50+C50</f>
        <v>74001.3</v>
      </c>
      <c r="L50" s="23"/>
    </row>
    <row r="51" spans="1:13" ht="12.75" customHeight="1">
      <c r="A51" s="69">
        <v>150101</v>
      </c>
      <c r="B51" s="20" t="s">
        <v>98</v>
      </c>
      <c r="C51" s="30">
        <f aca="true" t="shared" si="4" ref="C51:C56">D51+E51+F51</f>
        <v>1194</v>
      </c>
      <c r="D51" s="30"/>
      <c r="E51" s="30"/>
      <c r="F51" s="30">
        <f>1194-1194+1194</f>
        <v>1194</v>
      </c>
      <c r="G51" s="30"/>
      <c r="H51" s="30">
        <f>11000+20000+340+6692.7+12000+900+1000-11000-340-6692.7-2000-500+406.5+1500-100+100+4654+300+500-100+1100+300+290-139.9+2444.7-2426.7</f>
        <v>40228.6</v>
      </c>
      <c r="I51" s="30">
        <f>H51</f>
        <v>40228.6</v>
      </c>
      <c r="J51" s="30">
        <f>406.5-100+100+290-139.9</f>
        <v>556.6</v>
      </c>
      <c r="K51" s="70">
        <f t="shared" si="1"/>
        <v>41422.6</v>
      </c>
      <c r="L51" s="8"/>
      <c r="M51" s="21"/>
    </row>
    <row r="52" spans="1:13" ht="157.5" customHeight="1">
      <c r="A52" s="69" t="s">
        <v>277</v>
      </c>
      <c r="B52" s="90" t="s">
        <v>283</v>
      </c>
      <c r="C52" s="30">
        <f t="shared" si="4"/>
        <v>0</v>
      </c>
      <c r="D52" s="30"/>
      <c r="E52" s="30"/>
      <c r="F52" s="30"/>
      <c r="G52" s="30"/>
      <c r="H52" s="30">
        <f>I52</f>
        <v>6692.7</v>
      </c>
      <c r="I52" s="30">
        <v>6692.7</v>
      </c>
      <c r="J52" s="30"/>
      <c r="K52" s="70">
        <f t="shared" si="1"/>
        <v>6692.7</v>
      </c>
      <c r="L52" s="8"/>
      <c r="M52" s="21"/>
    </row>
    <row r="53" spans="1:13" ht="30" customHeight="1">
      <c r="A53" s="69" t="s">
        <v>262</v>
      </c>
      <c r="B53" s="90" t="s">
        <v>261</v>
      </c>
      <c r="C53" s="30">
        <f t="shared" si="4"/>
        <v>0</v>
      </c>
      <c r="D53" s="30"/>
      <c r="E53" s="30"/>
      <c r="F53" s="30"/>
      <c r="G53" s="30"/>
      <c r="H53" s="30">
        <f>I53</f>
        <v>840</v>
      </c>
      <c r="I53" s="30">
        <f>340+2000+500-2000</f>
        <v>840</v>
      </c>
      <c r="J53" s="30"/>
      <c r="K53" s="70">
        <f t="shared" si="1"/>
        <v>840</v>
      </c>
      <c r="L53" s="8"/>
      <c r="M53" s="21"/>
    </row>
    <row r="54" spans="1:13" ht="42" customHeight="1">
      <c r="A54" s="69" t="s">
        <v>265</v>
      </c>
      <c r="B54" s="90" t="s">
        <v>282</v>
      </c>
      <c r="C54" s="30">
        <f t="shared" si="4"/>
        <v>0</v>
      </c>
      <c r="D54" s="30"/>
      <c r="E54" s="30"/>
      <c r="F54" s="30"/>
      <c r="G54" s="30"/>
      <c r="H54" s="30">
        <f>I54</f>
        <v>10000</v>
      </c>
      <c r="I54" s="30">
        <v>10000</v>
      </c>
      <c r="J54" s="30"/>
      <c r="K54" s="70">
        <f t="shared" si="1"/>
        <v>10000</v>
      </c>
      <c r="L54" s="8"/>
      <c r="M54" s="21"/>
    </row>
    <row r="55" spans="1:13" ht="12.75" customHeight="1">
      <c r="A55" s="69" t="s">
        <v>263</v>
      </c>
      <c r="B55" s="20" t="s">
        <v>264</v>
      </c>
      <c r="C55" s="30">
        <f t="shared" si="4"/>
        <v>0</v>
      </c>
      <c r="D55" s="30"/>
      <c r="E55" s="30"/>
      <c r="F55" s="30"/>
      <c r="G55" s="30"/>
      <c r="H55" s="30">
        <f>I55</f>
        <v>11000</v>
      </c>
      <c r="I55" s="30">
        <v>11000</v>
      </c>
      <c r="J55" s="30"/>
      <c r="K55" s="70">
        <f t="shared" si="1"/>
        <v>11000</v>
      </c>
      <c r="L55" s="8"/>
      <c r="M55" s="21"/>
    </row>
    <row r="56" spans="1:13" ht="12.75" customHeight="1">
      <c r="A56" s="69" t="s">
        <v>17</v>
      </c>
      <c r="B56" s="20" t="s">
        <v>18</v>
      </c>
      <c r="C56" s="30">
        <f t="shared" si="4"/>
        <v>0</v>
      </c>
      <c r="D56" s="30"/>
      <c r="E56" s="30"/>
      <c r="F56" s="30"/>
      <c r="G56" s="30"/>
      <c r="H56" s="30">
        <f>I56</f>
        <v>4046</v>
      </c>
      <c r="I56" s="30">
        <f>1650+119+2000+277</f>
        <v>4046</v>
      </c>
      <c r="J56" s="30"/>
      <c r="K56" s="70">
        <f t="shared" si="1"/>
        <v>4046</v>
      </c>
      <c r="L56" s="8"/>
      <c r="M56" s="21"/>
    </row>
    <row r="57" spans="1:12" s="21" customFormat="1" ht="24.75" customHeight="1">
      <c r="A57" s="62">
        <v>170000</v>
      </c>
      <c r="B57" s="26" t="s">
        <v>99</v>
      </c>
      <c r="C57" s="45">
        <f>C59+C58</f>
        <v>1000</v>
      </c>
      <c r="D57" s="45">
        <f>D59+D58</f>
        <v>0</v>
      </c>
      <c r="E57" s="45">
        <f>E59+E58</f>
        <v>0</v>
      </c>
      <c r="F57" s="45">
        <f>F59+F58</f>
        <v>1000</v>
      </c>
      <c r="G57" s="45">
        <f>G59+G58</f>
        <v>0</v>
      </c>
      <c r="H57" s="45">
        <f>H59</f>
        <v>29400</v>
      </c>
      <c r="I57" s="45"/>
      <c r="J57" s="45"/>
      <c r="K57" s="68">
        <f>C57+H57</f>
        <v>30400</v>
      </c>
      <c r="L57" s="23"/>
    </row>
    <row r="58" spans="1:12" s="21" customFormat="1" ht="12.75">
      <c r="A58" s="69" t="s">
        <v>310</v>
      </c>
      <c r="B58" s="20" t="s">
        <v>311</v>
      </c>
      <c r="C58" s="30">
        <f>D58+E58+F58</f>
        <v>1000</v>
      </c>
      <c r="D58" s="30"/>
      <c r="E58" s="30"/>
      <c r="F58" s="30">
        <v>1000</v>
      </c>
      <c r="G58" s="30"/>
      <c r="H58" s="30"/>
      <c r="I58" s="30"/>
      <c r="J58" s="30"/>
      <c r="K58" s="70">
        <f t="shared" si="1"/>
        <v>1000</v>
      </c>
      <c r="L58" s="23"/>
    </row>
    <row r="59" spans="1:13" ht="38.25">
      <c r="A59" s="69">
        <v>170703</v>
      </c>
      <c r="B59" s="20" t="s">
        <v>292</v>
      </c>
      <c r="C59" s="30">
        <f>D59+E59+F59</f>
        <v>0</v>
      </c>
      <c r="D59" s="30"/>
      <c r="E59" s="30"/>
      <c r="F59" s="30"/>
      <c r="G59" s="30"/>
      <c r="H59" s="30">
        <v>29400</v>
      </c>
      <c r="I59" s="30"/>
      <c r="J59" s="30"/>
      <c r="K59" s="70">
        <f t="shared" si="1"/>
        <v>29400</v>
      </c>
      <c r="L59" s="8"/>
      <c r="M59" s="21"/>
    </row>
    <row r="60" spans="1:13" ht="38.25" customHeight="1">
      <c r="A60" s="62">
        <v>180109</v>
      </c>
      <c r="B60" s="26" t="s">
        <v>101</v>
      </c>
      <c r="C60" s="45">
        <f aca="true" t="shared" si="5" ref="C60:C67">D60+E60+F60</f>
        <v>9981.699999999997</v>
      </c>
      <c r="D60" s="30"/>
      <c r="E60" s="30"/>
      <c r="F60" s="45">
        <f>4700.4+400+390+38.7-14.9+2703.7+2703.7-0.2+255-1194.7</f>
        <v>9981.699999999997</v>
      </c>
      <c r="G60" s="30"/>
      <c r="H60" s="45"/>
      <c r="I60" s="30"/>
      <c r="J60" s="30"/>
      <c r="K60" s="68">
        <f t="shared" si="1"/>
        <v>9981.699999999997</v>
      </c>
      <c r="L60" s="8"/>
      <c r="M60" s="21"/>
    </row>
    <row r="61" spans="1:13" ht="25.5" customHeight="1">
      <c r="A61" s="62">
        <v>180404</v>
      </c>
      <c r="B61" s="26" t="s">
        <v>102</v>
      </c>
      <c r="C61" s="45">
        <f t="shared" si="5"/>
        <v>200</v>
      </c>
      <c r="D61" s="30"/>
      <c r="E61" s="30"/>
      <c r="F61" s="45">
        <v>200</v>
      </c>
      <c r="G61" s="30"/>
      <c r="H61" s="45"/>
      <c r="I61" s="30"/>
      <c r="J61" s="30"/>
      <c r="K61" s="68">
        <f t="shared" si="1"/>
        <v>200</v>
      </c>
      <c r="L61" s="8"/>
      <c r="M61" s="21"/>
    </row>
    <row r="62" spans="1:13" ht="54.75" customHeight="1">
      <c r="A62" s="62" t="s">
        <v>4</v>
      </c>
      <c r="B62" s="26" t="s">
        <v>5</v>
      </c>
      <c r="C62" s="45"/>
      <c r="D62" s="30"/>
      <c r="E62" s="30"/>
      <c r="F62" s="45"/>
      <c r="G62" s="30"/>
      <c r="H62" s="45">
        <f>30+30+30</f>
        <v>90</v>
      </c>
      <c r="I62" s="45">
        <f>30+30+30</f>
        <v>90</v>
      </c>
      <c r="J62" s="30"/>
      <c r="K62" s="68">
        <f t="shared" si="1"/>
        <v>90</v>
      </c>
      <c r="L62" s="8"/>
      <c r="M62" s="21"/>
    </row>
    <row r="63" spans="1:12" s="21" customFormat="1" ht="25.5">
      <c r="A63" s="62">
        <v>210000</v>
      </c>
      <c r="B63" s="54" t="s">
        <v>193</v>
      </c>
      <c r="C63" s="45">
        <f>D63+E63+F63+G63</f>
        <v>6005.599999999999</v>
      </c>
      <c r="D63" s="45"/>
      <c r="E63" s="45"/>
      <c r="F63" s="45">
        <f>1800+198.6+150+820+117+300+400.3+54.5+420+586.8+272.3</f>
        <v>5119.5</v>
      </c>
      <c r="G63" s="45">
        <f>1110.3+8.1-35.7-24.7-171.9</f>
        <v>886.0999999999998</v>
      </c>
      <c r="H63" s="45"/>
      <c r="I63" s="45"/>
      <c r="J63" s="45"/>
      <c r="K63" s="68">
        <f t="shared" si="1"/>
        <v>6005.599999999999</v>
      </c>
      <c r="L63" s="23"/>
    </row>
    <row r="64" spans="1:12" s="21" customFormat="1" ht="16.5" customHeight="1">
      <c r="A64" s="67" t="s">
        <v>139</v>
      </c>
      <c r="B64" s="140" t="s">
        <v>140</v>
      </c>
      <c r="C64" s="45">
        <f t="shared" si="5"/>
        <v>0</v>
      </c>
      <c r="D64" s="45"/>
      <c r="E64" s="45"/>
      <c r="F64" s="45"/>
      <c r="G64" s="45"/>
      <c r="H64" s="45">
        <v>665.4</v>
      </c>
      <c r="I64" s="45"/>
      <c r="J64" s="45"/>
      <c r="K64" s="68">
        <f t="shared" si="1"/>
        <v>665.4</v>
      </c>
      <c r="L64" s="23"/>
    </row>
    <row r="65" spans="1:12" s="21" customFormat="1" ht="13.5" customHeight="1">
      <c r="A65" s="62">
        <v>230000</v>
      </c>
      <c r="B65" s="26" t="s">
        <v>103</v>
      </c>
      <c r="C65" s="45">
        <f>D65+E65+F65</f>
        <v>0.1</v>
      </c>
      <c r="D65" s="45"/>
      <c r="E65" s="45"/>
      <c r="F65" s="45">
        <v>0.1</v>
      </c>
      <c r="G65" s="45"/>
      <c r="H65" s="45"/>
      <c r="I65" s="45"/>
      <c r="J65" s="45"/>
      <c r="K65" s="68">
        <f t="shared" si="1"/>
        <v>0.1</v>
      </c>
      <c r="L65" s="23"/>
    </row>
    <row r="66" spans="1:13" s="21" customFormat="1" ht="13.5" customHeight="1">
      <c r="A66" s="67">
        <v>240000</v>
      </c>
      <c r="B66" s="26" t="s">
        <v>104</v>
      </c>
      <c r="C66" s="45">
        <f aca="true" t="shared" si="6" ref="C66:H66">C67</f>
        <v>0</v>
      </c>
      <c r="D66" s="45">
        <f t="shared" si="6"/>
        <v>0</v>
      </c>
      <c r="E66" s="45">
        <f t="shared" si="6"/>
        <v>0</v>
      </c>
      <c r="F66" s="45">
        <f t="shared" si="6"/>
        <v>0</v>
      </c>
      <c r="G66" s="45">
        <f t="shared" si="6"/>
        <v>0</v>
      </c>
      <c r="H66" s="45">
        <f t="shared" si="6"/>
        <v>40200</v>
      </c>
      <c r="I66" s="45"/>
      <c r="J66" s="45"/>
      <c r="K66" s="68">
        <f t="shared" si="1"/>
        <v>40200</v>
      </c>
      <c r="L66" s="23"/>
      <c r="M66" s="21">
        <f>3840.4+420</f>
        <v>4260.4</v>
      </c>
    </row>
    <row r="67" spans="1:13" ht="70.5" customHeight="1">
      <c r="A67" s="66" t="s">
        <v>142</v>
      </c>
      <c r="B67" s="24" t="s">
        <v>105</v>
      </c>
      <c r="C67" s="30">
        <f t="shared" si="5"/>
        <v>0</v>
      </c>
      <c r="D67" s="30"/>
      <c r="E67" s="30"/>
      <c r="F67" s="30"/>
      <c r="G67" s="30"/>
      <c r="H67" s="30">
        <f>38000+2200</f>
        <v>40200</v>
      </c>
      <c r="I67" s="30"/>
      <c r="J67" s="30"/>
      <c r="K67" s="70">
        <f t="shared" si="1"/>
        <v>40200</v>
      </c>
      <c r="L67" s="8"/>
      <c r="M67" s="21"/>
    </row>
    <row r="68" spans="1:12" s="21" customFormat="1" ht="12.75">
      <c r="A68" s="62">
        <v>250000</v>
      </c>
      <c r="B68" s="140" t="s">
        <v>106</v>
      </c>
      <c r="C68" s="141">
        <f>C69+C70+C75+C73+C72+C71</f>
        <v>73834.4</v>
      </c>
      <c r="D68" s="141">
        <f>D69+D70+D75+D73+D72+D71</f>
        <v>3.4</v>
      </c>
      <c r="E68" s="141">
        <f>E69+E70+E75+E73+E72+E71</f>
        <v>0</v>
      </c>
      <c r="F68" s="141">
        <f>F69+F70+F75+F73+F72+F71</f>
        <v>73831</v>
      </c>
      <c r="G68" s="141">
        <f>G69+G70+G75+G73</f>
        <v>0</v>
      </c>
      <c r="H68" s="141">
        <f>H69+H70+H75+H73+H74</f>
        <v>71.3</v>
      </c>
      <c r="I68" s="141">
        <f>I69+I70+I75+I73+I74</f>
        <v>71.3</v>
      </c>
      <c r="J68" s="141"/>
      <c r="K68" s="143">
        <f t="shared" si="1"/>
        <v>73905.7</v>
      </c>
      <c r="L68" s="23"/>
    </row>
    <row r="69" spans="1:13" ht="12.75">
      <c r="A69" s="69">
        <v>250102</v>
      </c>
      <c r="B69" s="20" t="s">
        <v>107</v>
      </c>
      <c r="C69" s="30">
        <f aca="true" t="shared" si="7" ref="C69:C75">D69+E69+F69</f>
        <v>1423.1000000000001</v>
      </c>
      <c r="D69" s="30"/>
      <c r="E69" s="30"/>
      <c r="F69" s="30">
        <f>4000-500-500-198.6-150-820-300-101.5-420+1000-586.8</f>
        <v>1423.1000000000001</v>
      </c>
      <c r="G69" s="30"/>
      <c r="H69" s="30"/>
      <c r="I69" s="30"/>
      <c r="J69" s="30"/>
      <c r="K69" s="70">
        <f t="shared" si="1"/>
        <v>1423.1000000000001</v>
      </c>
      <c r="L69" s="8"/>
      <c r="M69" s="21"/>
    </row>
    <row r="70" spans="1:13" ht="12.75">
      <c r="A70" s="69">
        <v>250203</v>
      </c>
      <c r="B70" s="20" t="s">
        <v>296</v>
      </c>
      <c r="C70" s="30">
        <f t="shared" si="7"/>
        <v>7</v>
      </c>
      <c r="D70" s="30">
        <f>1.7+1.7</f>
        <v>3.4</v>
      </c>
      <c r="E70" s="30"/>
      <c r="F70" s="30">
        <f>105-101.5+1.8-1.7</f>
        <v>3.5999999999999996</v>
      </c>
      <c r="G70" s="30"/>
      <c r="H70" s="30"/>
      <c r="I70" s="30"/>
      <c r="J70" s="30"/>
      <c r="K70" s="70">
        <f t="shared" si="1"/>
        <v>7</v>
      </c>
      <c r="L70" s="8"/>
      <c r="M70" s="21"/>
    </row>
    <row r="71" spans="1:13" ht="12.75">
      <c r="A71" s="69" t="s">
        <v>313</v>
      </c>
      <c r="B71" s="20" t="s">
        <v>314</v>
      </c>
      <c r="C71" s="30">
        <f t="shared" si="7"/>
        <v>0</v>
      </c>
      <c r="D71" s="30"/>
      <c r="E71" s="30"/>
      <c r="F71" s="30">
        <f>2000-2000</f>
        <v>0</v>
      </c>
      <c r="G71" s="30"/>
      <c r="H71" s="30"/>
      <c r="I71" s="30"/>
      <c r="J71" s="30"/>
      <c r="K71" s="70">
        <f t="shared" si="1"/>
        <v>0</v>
      </c>
      <c r="L71" s="8"/>
      <c r="M71" s="21"/>
    </row>
    <row r="72" spans="1:13" ht="26.25" customHeight="1">
      <c r="A72" s="69">
        <v>250306</v>
      </c>
      <c r="B72" s="20" t="s">
        <v>110</v>
      </c>
      <c r="C72" s="30">
        <f t="shared" si="7"/>
        <v>71802</v>
      </c>
      <c r="D72" s="30"/>
      <c r="E72" s="30"/>
      <c r="F72" s="30">
        <f>20000+6692.7+340+11000+10000+12000+900+30+1650+119+1500+30+100+4654+300+500+30+1400-100+290+16+500+277+2000-2426.7</f>
        <v>71802</v>
      </c>
      <c r="G72" s="30"/>
      <c r="H72" s="30"/>
      <c r="I72" s="30"/>
      <c r="J72" s="30"/>
      <c r="K72" s="70">
        <f t="shared" si="1"/>
        <v>71802</v>
      </c>
      <c r="L72" s="8"/>
      <c r="M72" s="21"/>
    </row>
    <row r="73" spans="1:13" ht="26.25" customHeight="1">
      <c r="A73" s="69" t="s">
        <v>217</v>
      </c>
      <c r="B73" s="20" t="s">
        <v>253</v>
      </c>
      <c r="C73" s="30">
        <f t="shared" si="7"/>
        <v>226.20000000000002</v>
      </c>
      <c r="D73" s="30"/>
      <c r="E73" s="30"/>
      <c r="F73" s="30">
        <f>101.5+101.5+73.1-47.8-2.1</f>
        <v>226.20000000000002</v>
      </c>
      <c r="G73" s="30"/>
      <c r="H73" s="30"/>
      <c r="I73" s="30"/>
      <c r="J73" s="30"/>
      <c r="K73" s="70">
        <f t="shared" si="1"/>
        <v>226.20000000000002</v>
      </c>
      <c r="L73" s="8"/>
      <c r="M73" s="21"/>
    </row>
    <row r="74" spans="1:59" ht="25.5">
      <c r="A74" s="69" t="s">
        <v>319</v>
      </c>
      <c r="B74" s="20" t="s">
        <v>320</v>
      </c>
      <c r="C74" s="30">
        <f>D74+E74+F74</f>
        <v>0</v>
      </c>
      <c r="D74" s="25"/>
      <c r="E74" s="25"/>
      <c r="F74" s="25"/>
      <c r="G74" s="25"/>
      <c r="H74" s="25">
        <f>I74</f>
        <v>71.3</v>
      </c>
      <c r="I74" s="25">
        <v>71.3</v>
      </c>
      <c r="J74" s="25"/>
      <c r="K74" s="84">
        <f>H74+C74</f>
        <v>71.3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13" ht="12.75">
      <c r="A75" s="69">
        <v>250404</v>
      </c>
      <c r="B75" s="20" t="s">
        <v>108</v>
      </c>
      <c r="C75" s="30">
        <f t="shared" si="7"/>
        <v>376.1</v>
      </c>
      <c r="D75" s="30"/>
      <c r="E75" s="30"/>
      <c r="F75" s="30">
        <f>225+49.6+101.5</f>
        <v>376.1</v>
      </c>
      <c r="G75" s="30"/>
      <c r="H75" s="30"/>
      <c r="I75" s="30"/>
      <c r="J75" s="30"/>
      <c r="K75" s="70">
        <f t="shared" si="1"/>
        <v>376.1</v>
      </c>
      <c r="L75" s="8"/>
      <c r="M75" s="21"/>
    </row>
    <row r="76" spans="1:13" s="21" customFormat="1" ht="18" customHeight="1">
      <c r="A76" s="62"/>
      <c r="B76" s="26" t="s">
        <v>109</v>
      </c>
      <c r="C76" s="45">
        <f>C68+C67+C65+C64+C63+C62+C61+C60+C57+C50+C49+C46+C42+C40+C19+C18+C17+C15+C13</f>
        <v>624214.3</v>
      </c>
      <c r="D76" s="45">
        <f>D68+D67+D65+D64+D63+D62+D61+D60+D57+D50+D49+D46+D42+D40+D19+D18+D17+D15+D13</f>
        <v>158445</v>
      </c>
      <c r="E76" s="45">
        <f>E68+E67+E65+E64+E63+E62+E61+E60+E57+E50+E49+E46+E42+E40+E19+E18+E17+E15+E13</f>
        <v>32366.4</v>
      </c>
      <c r="F76" s="45">
        <f>F68+F67+F65+F64+F63+F62+F61+F60+F57+F50+F49+F46+F42+F40+F19+F18+F17+F15+F13</f>
        <v>405550.3</v>
      </c>
      <c r="G76" s="45">
        <f>G68+G67+G65+G64+G63+G62+G61+G60+G57+G50+G49+G46+G42+G40+G19+G18+G17+G15+G13</f>
        <v>27852.6</v>
      </c>
      <c r="H76" s="45">
        <f>H13+H15+H17+H18+H19+H40+H42+H46+H49+H50+H57+H60+H61+H63+H65+H66+H68+H64+H62</f>
        <v>162882.9</v>
      </c>
      <c r="I76" s="45">
        <f>I13+I15+I17+I18+I19+I40+I42+I46+I49+I50+I57+I60+I61+I63+I65+I66+I68+I64+I62</f>
        <v>72968.6</v>
      </c>
      <c r="J76" s="45">
        <f>J13+J15+J17+J18+J19+J40+J42+J46+J49+J50+J57+J60+J61+J63+J65+J66+J68+J64+J62</f>
        <v>556.6</v>
      </c>
      <c r="K76" s="68">
        <f>K13+K15+K17+K18+K19+K40+K42+K46+K49+K50+K57+K60+K61+K63+K65+K66+K68+K64+K62</f>
        <v>787097.2</v>
      </c>
      <c r="L76" s="28">
        <f>D76+E76+F76+G76</f>
        <v>624214.2999999999</v>
      </c>
      <c r="M76" s="29"/>
    </row>
    <row r="77" spans="1:13" s="21" customFormat="1" ht="63.75">
      <c r="A77" s="69" t="s">
        <v>260</v>
      </c>
      <c r="B77" s="46" t="s">
        <v>201</v>
      </c>
      <c r="C77" s="30">
        <f aca="true" t="shared" si="8" ref="C77:C93">D77+E77+F77</f>
        <v>21399.2</v>
      </c>
      <c r="D77" s="45"/>
      <c r="E77" s="45"/>
      <c r="F77" s="30">
        <v>21399.2</v>
      </c>
      <c r="G77" s="45"/>
      <c r="H77" s="45"/>
      <c r="I77" s="45"/>
      <c r="J77" s="45"/>
      <c r="K77" s="70">
        <f t="shared" si="1"/>
        <v>21399.2</v>
      </c>
      <c r="L77" s="28"/>
      <c r="M77" s="29"/>
    </row>
    <row r="78" spans="1:13" s="21" customFormat="1" ht="12.75">
      <c r="A78" s="69" t="s">
        <v>321</v>
      </c>
      <c r="B78" s="46"/>
      <c r="C78" s="30">
        <f t="shared" si="8"/>
        <v>122542.5</v>
      </c>
      <c r="D78" s="45"/>
      <c r="E78" s="45"/>
      <c r="F78" s="30">
        <v>122542.5</v>
      </c>
      <c r="G78" s="45"/>
      <c r="H78" s="45"/>
      <c r="I78" s="45"/>
      <c r="J78" s="45"/>
      <c r="K78" s="70">
        <f t="shared" si="1"/>
        <v>122542.5</v>
      </c>
      <c r="L78" s="28"/>
      <c r="M78" s="29"/>
    </row>
    <row r="79" spans="1:13" s="21" customFormat="1" ht="76.5">
      <c r="A79" s="69" t="s">
        <v>259</v>
      </c>
      <c r="B79" s="139" t="s">
        <v>293</v>
      </c>
      <c r="C79" s="30">
        <f t="shared" si="8"/>
        <v>47780.8</v>
      </c>
      <c r="D79" s="45"/>
      <c r="E79" s="45"/>
      <c r="F79" s="30">
        <v>47780.8</v>
      </c>
      <c r="G79" s="45"/>
      <c r="H79" s="45"/>
      <c r="I79" s="45"/>
      <c r="J79" s="45"/>
      <c r="K79" s="70">
        <f t="shared" si="1"/>
        <v>47780.8</v>
      </c>
      <c r="L79" s="28"/>
      <c r="M79" s="29"/>
    </row>
    <row r="80" spans="1:13" ht="51">
      <c r="A80" s="69">
        <v>250301</v>
      </c>
      <c r="B80" s="49" t="s">
        <v>196</v>
      </c>
      <c r="C80" s="30">
        <f t="shared" si="8"/>
        <v>14715</v>
      </c>
      <c r="D80" s="30"/>
      <c r="E80" s="30"/>
      <c r="F80" s="30">
        <v>14715</v>
      </c>
      <c r="G80" s="30"/>
      <c r="H80" s="30"/>
      <c r="I80" s="30"/>
      <c r="J80" s="30"/>
      <c r="K80" s="70">
        <f t="shared" si="1"/>
        <v>14715</v>
      </c>
      <c r="L80" s="8"/>
      <c r="M80" s="21"/>
    </row>
    <row r="81" spans="1:13" ht="12.75" hidden="1">
      <c r="A81" s="163"/>
      <c r="B81" s="154"/>
      <c r="C81" s="30"/>
      <c r="D81" s="45"/>
      <c r="E81" s="45"/>
      <c r="F81" s="154"/>
      <c r="G81" s="45"/>
      <c r="H81" s="45"/>
      <c r="I81" s="45"/>
      <c r="J81" s="45"/>
      <c r="K81" s="70">
        <f t="shared" si="1"/>
        <v>0</v>
      </c>
      <c r="L81" s="8"/>
      <c r="M81" s="21"/>
    </row>
    <row r="82" spans="1:13" ht="30" customHeight="1">
      <c r="A82" s="69" t="s">
        <v>16</v>
      </c>
      <c r="B82" s="139" t="s">
        <v>12</v>
      </c>
      <c r="C82" s="30">
        <f t="shared" si="8"/>
        <v>43796</v>
      </c>
      <c r="D82" s="45"/>
      <c r="E82" s="45"/>
      <c r="F82" s="30">
        <f>43616-1650-570+2400</f>
        <v>43796</v>
      </c>
      <c r="G82" s="45"/>
      <c r="H82" s="45"/>
      <c r="I82" s="45"/>
      <c r="J82" s="45"/>
      <c r="K82" s="70">
        <f t="shared" si="1"/>
        <v>43796</v>
      </c>
      <c r="L82" s="8"/>
      <c r="M82" s="21"/>
    </row>
    <row r="83" spans="1:13" ht="51">
      <c r="A83" s="69" t="s">
        <v>226</v>
      </c>
      <c r="B83" s="199" t="s">
        <v>219</v>
      </c>
      <c r="C83" s="30">
        <f t="shared" si="8"/>
        <v>112985.6</v>
      </c>
      <c r="D83" s="45"/>
      <c r="E83" s="45"/>
      <c r="F83" s="30">
        <f>93935.5+19050.1</f>
        <v>112985.6</v>
      </c>
      <c r="G83" s="45"/>
      <c r="H83" s="45"/>
      <c r="I83" s="45"/>
      <c r="J83" s="45"/>
      <c r="K83" s="70">
        <f t="shared" si="1"/>
        <v>112985.6</v>
      </c>
      <c r="L83" s="8"/>
      <c r="M83" s="21"/>
    </row>
    <row r="84" spans="1:13" ht="312.75" customHeight="1">
      <c r="A84" s="188" t="s">
        <v>227</v>
      </c>
      <c r="B84" s="200" t="s">
        <v>303</v>
      </c>
      <c r="C84" s="232">
        <f t="shared" si="8"/>
        <v>219261</v>
      </c>
      <c r="D84" s="233"/>
      <c r="E84" s="233"/>
      <c r="F84" s="235">
        <f>173905.7+21355.3+24000</f>
        <v>219261</v>
      </c>
      <c r="G84" s="233"/>
      <c r="H84" s="233"/>
      <c r="I84" s="233"/>
      <c r="J84" s="233"/>
      <c r="K84" s="234">
        <f t="shared" si="1"/>
        <v>219261</v>
      </c>
      <c r="L84" s="8"/>
      <c r="M84" s="21"/>
    </row>
    <row r="85" spans="1:13" ht="25.5">
      <c r="A85" s="188"/>
      <c r="B85" s="198" t="s">
        <v>304</v>
      </c>
      <c r="C85" s="232"/>
      <c r="D85" s="233"/>
      <c r="E85" s="233"/>
      <c r="F85" s="235"/>
      <c r="G85" s="233"/>
      <c r="H85" s="233"/>
      <c r="I85" s="233"/>
      <c r="J85" s="233"/>
      <c r="K85" s="234"/>
      <c r="L85" s="8"/>
      <c r="M85" s="21"/>
    </row>
    <row r="86" spans="1:13" ht="189.75" customHeight="1">
      <c r="A86" s="69" t="s">
        <v>216</v>
      </c>
      <c r="B86" s="197" t="s">
        <v>46</v>
      </c>
      <c r="C86" s="30">
        <f t="shared" si="8"/>
        <v>79174</v>
      </c>
      <c r="D86" s="45"/>
      <c r="E86" s="45"/>
      <c r="F86" s="30">
        <f>60229.2+5144.8+13800</f>
        <v>79174</v>
      </c>
      <c r="G86" s="45"/>
      <c r="H86" s="45"/>
      <c r="I86" s="45"/>
      <c r="J86" s="45"/>
      <c r="K86" s="70">
        <f t="shared" si="1"/>
        <v>79174</v>
      </c>
      <c r="L86" s="8"/>
      <c r="M86" s="21"/>
    </row>
    <row r="87" spans="1:13" s="21" customFormat="1" ht="114.75">
      <c r="A87" s="69" t="s">
        <v>228</v>
      </c>
      <c r="B87" s="90" t="s">
        <v>223</v>
      </c>
      <c r="C87" s="30">
        <f t="shared" si="8"/>
        <v>23952.9</v>
      </c>
      <c r="D87" s="30"/>
      <c r="E87" s="30"/>
      <c r="F87" s="30">
        <f>21042.2+1610.7+1300</f>
        <v>23952.9</v>
      </c>
      <c r="G87" s="30"/>
      <c r="H87" s="30"/>
      <c r="I87" s="30"/>
      <c r="J87" s="30"/>
      <c r="K87" s="70">
        <f t="shared" si="1"/>
        <v>23952.9</v>
      </c>
      <c r="L87" s="28"/>
      <c r="M87" s="29"/>
    </row>
    <row r="88" spans="1:13" s="21" customFormat="1" ht="51" hidden="1">
      <c r="A88" s="69" t="s">
        <v>284</v>
      </c>
      <c r="B88" s="90" t="s">
        <v>204</v>
      </c>
      <c r="C88" s="30">
        <f t="shared" si="8"/>
        <v>0</v>
      </c>
      <c r="D88" s="30"/>
      <c r="E88" s="30"/>
      <c r="F88" s="30"/>
      <c r="G88" s="30"/>
      <c r="H88" s="30"/>
      <c r="I88" s="30"/>
      <c r="J88" s="30"/>
      <c r="K88" s="70">
        <f t="shared" si="1"/>
        <v>0</v>
      </c>
      <c r="L88" s="28"/>
      <c r="M88" s="29"/>
    </row>
    <row r="89" spans="1:12" s="21" customFormat="1" ht="38.25">
      <c r="A89" s="69" t="s">
        <v>236</v>
      </c>
      <c r="B89" s="90" t="s">
        <v>225</v>
      </c>
      <c r="C89" s="30">
        <f t="shared" si="8"/>
        <v>0</v>
      </c>
      <c r="D89" s="30"/>
      <c r="E89" s="30"/>
      <c r="F89" s="30"/>
      <c r="G89" s="30"/>
      <c r="H89" s="30">
        <f>9037.8+200</f>
        <v>9237.8</v>
      </c>
      <c r="I89" s="30"/>
      <c r="J89" s="30"/>
      <c r="K89" s="70">
        <f t="shared" si="1"/>
        <v>9237.8</v>
      </c>
      <c r="L89" s="23"/>
    </row>
    <row r="90" spans="1:12" s="21" customFormat="1" ht="84.75" customHeight="1">
      <c r="A90" s="69" t="s">
        <v>15</v>
      </c>
      <c r="B90" s="90" t="s">
        <v>14</v>
      </c>
      <c r="C90" s="30">
        <f t="shared" si="8"/>
        <v>34441</v>
      </c>
      <c r="D90" s="30"/>
      <c r="E90" s="30"/>
      <c r="F90" s="30">
        <f>33441+1000</f>
        <v>34441</v>
      </c>
      <c r="G90" s="30"/>
      <c r="H90" s="30"/>
      <c r="I90" s="30"/>
      <c r="J90" s="30"/>
      <c r="K90" s="70">
        <f t="shared" si="1"/>
        <v>34441</v>
      </c>
      <c r="L90" s="23"/>
    </row>
    <row r="91" spans="1:12" s="21" customFormat="1" ht="15" customHeight="1">
      <c r="A91" s="69" t="s">
        <v>6</v>
      </c>
      <c r="B91" s="90" t="s">
        <v>7</v>
      </c>
      <c r="C91" s="30">
        <f t="shared" si="8"/>
        <v>6484.6</v>
      </c>
      <c r="D91" s="30"/>
      <c r="E91" s="30"/>
      <c r="F91" s="30">
        <f>200+1140+450+2550+900+144.6+300+200+600</f>
        <v>6484.6</v>
      </c>
      <c r="G91" s="30"/>
      <c r="H91" s="30"/>
      <c r="I91" s="30"/>
      <c r="J91" s="30"/>
      <c r="K91" s="70">
        <f t="shared" si="1"/>
        <v>6484.6</v>
      </c>
      <c r="L91" s="23"/>
    </row>
    <row r="92" spans="1:12" s="21" customFormat="1" ht="38.25">
      <c r="A92" s="69" t="s">
        <v>258</v>
      </c>
      <c r="B92" s="90" t="s">
        <v>294</v>
      </c>
      <c r="C92" s="30">
        <f t="shared" si="8"/>
        <v>5800</v>
      </c>
      <c r="D92" s="30"/>
      <c r="E92" s="30"/>
      <c r="F92" s="30">
        <v>5800</v>
      </c>
      <c r="G92" s="30"/>
      <c r="H92" s="30"/>
      <c r="I92" s="30"/>
      <c r="J92" s="30"/>
      <c r="K92" s="70">
        <f t="shared" si="1"/>
        <v>5800</v>
      </c>
      <c r="L92" s="23"/>
    </row>
    <row r="93" spans="1:12" s="21" customFormat="1" ht="42.75" customHeight="1">
      <c r="A93" s="69" t="s">
        <v>47</v>
      </c>
      <c r="B93" s="90" t="s">
        <v>28</v>
      </c>
      <c r="C93" s="30">
        <f t="shared" si="8"/>
        <v>26500</v>
      </c>
      <c r="D93" s="30"/>
      <c r="E93" s="30"/>
      <c r="F93" s="30">
        <f>24900+1600</f>
        <v>26500</v>
      </c>
      <c r="G93" s="30"/>
      <c r="H93" s="30"/>
      <c r="I93" s="30"/>
      <c r="J93" s="30"/>
      <c r="K93" s="70">
        <f t="shared" si="1"/>
        <v>26500</v>
      </c>
      <c r="L93" s="23"/>
    </row>
    <row r="94" spans="1:13" s="21" customFormat="1" ht="13.5" thickBot="1">
      <c r="A94" s="216" t="s">
        <v>111</v>
      </c>
      <c r="B94" s="217"/>
      <c r="C94" s="164">
        <f>C89+C87+C86+C84+C83+C81+C80+C76+C88+C91+C82+C90+C92+C93+C79+C77+C78</f>
        <v>1383046.9000000001</v>
      </c>
      <c r="D94" s="164">
        <f>D89+D87+D86+D84+D83+D81+D80+D76+D88+D91+D82+D90+D92+D93+D79+D77+D78</f>
        <v>158445</v>
      </c>
      <c r="E94" s="164">
        <f>E89+E87+E86+E84+E83+E81+E80+E76+E88+E91+E82+E90+E92+E93+E79+E77+E78</f>
        <v>32366.4</v>
      </c>
      <c r="F94" s="164">
        <f>F89+F87+F86+F84+F83+F81+F80+F76+F88+F91+F82+F90+F92+F93+F79+F77+F78</f>
        <v>1164382.9</v>
      </c>
      <c r="G94" s="164">
        <f>G89+G87+G86+G84+G83+G81+G80+G76+G88+G91+G82+G90+G92+G93+G79+G77+G78</f>
        <v>27852.6</v>
      </c>
      <c r="H94" s="164">
        <f>H89+H87+H86+H84+H83+H81+H80+H76+H88</f>
        <v>172120.69999999998</v>
      </c>
      <c r="I94" s="164">
        <f>I89+I87+I86+I84+I83+I81+I80+I76+I88</f>
        <v>72968.6</v>
      </c>
      <c r="J94" s="164">
        <f>J89+J87+J86+J84+J83+J81+J80+J76+J88</f>
        <v>556.6</v>
      </c>
      <c r="K94" s="165">
        <f>C94+H94</f>
        <v>1555167.6</v>
      </c>
      <c r="L94" s="28">
        <f>D94+E94+F94+G94</f>
        <v>1383046.9</v>
      </c>
      <c r="M94" s="29"/>
    </row>
    <row r="95" spans="2:11" ht="12.75">
      <c r="B95" s="50"/>
      <c r="C95" s="32"/>
      <c r="D95" s="32"/>
      <c r="E95" s="32"/>
      <c r="F95" s="32"/>
      <c r="G95" s="32"/>
      <c r="H95" s="32"/>
      <c r="I95" s="32"/>
      <c r="J95" s="32"/>
      <c r="K95" s="32"/>
    </row>
    <row r="96" spans="2:11" ht="12.75" hidden="1">
      <c r="B96" s="50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50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50"/>
      <c r="C98" s="32"/>
      <c r="D98" s="32"/>
      <c r="E98" s="32"/>
      <c r="F98" s="32"/>
      <c r="G98" s="32"/>
      <c r="H98" s="32"/>
      <c r="I98" s="32"/>
      <c r="J98" s="32"/>
      <c r="K98" s="32"/>
    </row>
    <row r="99" spans="2:9" ht="12.75">
      <c r="B99" s="50"/>
      <c r="C99" s="32"/>
      <c r="I99" s="32"/>
    </row>
    <row r="100" spans="2:11" ht="12.75">
      <c r="B100" s="50"/>
      <c r="C100" s="32"/>
      <c r="D100" s="32"/>
      <c r="E100" s="32"/>
      <c r="F100" s="32"/>
      <c r="G100" s="32"/>
      <c r="H100" s="32"/>
      <c r="I100" s="32"/>
      <c r="K100" s="32"/>
    </row>
    <row r="101" spans="2:11" ht="12.75">
      <c r="B101" s="50"/>
      <c r="C101" s="32"/>
      <c r="D101" s="32"/>
      <c r="E101" s="32"/>
      <c r="F101" s="32"/>
      <c r="G101" s="32"/>
      <c r="H101" s="32"/>
      <c r="K101" s="32"/>
    </row>
    <row r="102" spans="2:3" ht="12.75">
      <c r="B102" s="50"/>
      <c r="C102" s="32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  <row r="451" ht="12.75">
      <c r="B451" s="50"/>
    </row>
    <row r="452" ht="12.75">
      <c r="B452" s="50"/>
    </row>
    <row r="453" ht="12.75">
      <c r="B453" s="50"/>
    </row>
    <row r="454" ht="12.75">
      <c r="B454" s="50"/>
    </row>
    <row r="455" ht="12.75">
      <c r="B455" s="50"/>
    </row>
    <row r="456" ht="12.75">
      <c r="B456" s="50"/>
    </row>
    <row r="457" ht="12.75">
      <c r="B457" s="50"/>
    </row>
    <row r="458" ht="12.75">
      <c r="B458" s="50"/>
    </row>
    <row r="459" ht="12.75">
      <c r="B459" s="50"/>
    </row>
    <row r="460" ht="12.75">
      <c r="B460" s="50"/>
    </row>
    <row r="461" ht="12.75">
      <c r="B461" s="50"/>
    </row>
    <row r="462" ht="12.75">
      <c r="B462" s="50"/>
    </row>
    <row r="463" ht="12.75">
      <c r="B463" s="50"/>
    </row>
    <row r="464" ht="12.75">
      <c r="B464" s="50"/>
    </row>
    <row r="465" ht="12.75">
      <c r="B465" s="50"/>
    </row>
    <row r="466" ht="12.75">
      <c r="B466" s="50"/>
    </row>
    <row r="467" ht="12.75">
      <c r="B467" s="50"/>
    </row>
    <row r="468" ht="12.75">
      <c r="B468" s="50"/>
    </row>
    <row r="469" ht="12.75">
      <c r="B469" s="50"/>
    </row>
    <row r="470" ht="12.75">
      <c r="B470" s="50"/>
    </row>
    <row r="471" ht="12.75">
      <c r="B471" s="50"/>
    </row>
    <row r="472" ht="12.75">
      <c r="B472" s="50"/>
    </row>
    <row r="473" ht="12.75">
      <c r="B473" s="50"/>
    </row>
    <row r="474" ht="12.75">
      <c r="B474" s="50"/>
    </row>
    <row r="475" ht="12.75">
      <c r="B475" s="50"/>
    </row>
    <row r="476" ht="12.75">
      <c r="B476" s="50"/>
    </row>
    <row r="477" ht="12.75">
      <c r="B477" s="50"/>
    </row>
    <row r="478" ht="12.75">
      <c r="B478" s="50"/>
    </row>
    <row r="479" ht="12.75">
      <c r="B479" s="50"/>
    </row>
    <row r="480" ht="12.75">
      <c r="B480" s="50"/>
    </row>
    <row r="481" ht="12.75">
      <c r="B481" s="50"/>
    </row>
    <row r="482" ht="12.75">
      <c r="B482" s="50"/>
    </row>
    <row r="483" ht="12.75">
      <c r="B483" s="50"/>
    </row>
  </sheetData>
  <mergeCells count="24">
    <mergeCell ref="J84:J85"/>
    <mergeCell ref="K84:K85"/>
    <mergeCell ref="F84:F85"/>
    <mergeCell ref="G84:G85"/>
    <mergeCell ref="H84:H85"/>
    <mergeCell ref="I84:I85"/>
    <mergeCell ref="A84:A85"/>
    <mergeCell ref="C84:C85"/>
    <mergeCell ref="D84:D85"/>
    <mergeCell ref="E84:E85"/>
    <mergeCell ref="A94:B94"/>
    <mergeCell ref="H1:J1"/>
    <mergeCell ref="A6:K6"/>
    <mergeCell ref="A7:K7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H3:K3"/>
  </mergeCells>
  <printOptions/>
  <pageMargins left="0.5511811023622047" right="0.27" top="0.21" bottom="0.25" header="0.21" footer="0.23"/>
  <pageSetup horizontalDpi="600" verticalDpi="600" orientation="portrait" paperSize="9" scale="70" r:id="rId1"/>
  <rowBreaks count="2" manualBreakCount="2">
    <brk id="51" max="10" man="1"/>
    <brk id="8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5"/>
  <sheetViews>
    <sheetView tabSelected="1" view="pageBreakPreview" zoomScale="75" zoomScaleNormal="60" zoomScaleSheetLayoutView="75" workbookViewId="0" topLeftCell="A11">
      <pane xSplit="2" ySplit="3" topLeftCell="C132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F134" sqref="F134"/>
    </sheetView>
  </sheetViews>
  <sheetFormatPr defaultColWidth="9.00390625" defaultRowHeight="12.75"/>
  <cols>
    <col min="1" max="1" width="7.75390625" style="63" customWidth="1"/>
    <col min="2" max="2" width="40.25390625" style="34" customWidth="1"/>
    <col min="3" max="3" width="11.625" style="3" customWidth="1"/>
    <col min="4" max="4" width="10.25390625" style="3" customWidth="1"/>
    <col min="5" max="5" width="9.125" style="3" customWidth="1"/>
    <col min="6" max="6" width="11.875" style="3" customWidth="1"/>
    <col min="7" max="7" width="8.875" style="3" customWidth="1"/>
    <col min="8" max="8" width="10.00390625" style="3" customWidth="1"/>
    <col min="9" max="9" width="8.75390625" style="3" customWidth="1"/>
    <col min="10" max="10" width="7.00390625" style="3" customWidth="1"/>
    <col min="11" max="11" width="12.00390625" style="3" customWidth="1"/>
    <col min="12" max="12" width="13.125" style="35" customWidth="1"/>
    <col min="13" max="13" width="9.125" style="35" customWidth="1"/>
    <col min="14" max="14" width="9.375" style="35" bestFit="1" customWidth="1"/>
    <col min="15" max="59" width="8.875" style="35" customWidth="1"/>
    <col min="60" max="16384" width="8.875" style="3" customWidth="1"/>
  </cols>
  <sheetData>
    <row r="1" spans="6:11" ht="12.75" customHeight="1" hidden="1">
      <c r="F1" s="241"/>
      <c r="G1" s="241"/>
      <c r="H1" s="241"/>
      <c r="I1" s="241"/>
      <c r="J1" s="241"/>
      <c r="K1" s="241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112</v>
      </c>
      <c r="G3" s="4"/>
      <c r="H3" s="4"/>
      <c r="I3" s="4"/>
      <c r="J3" s="4"/>
      <c r="K3" s="4"/>
    </row>
    <row r="4" spans="5:11" ht="12.75">
      <c r="E4" s="36" t="s">
        <v>113</v>
      </c>
      <c r="H4" s="242" t="s">
        <v>114</v>
      </c>
      <c r="I4" s="242"/>
      <c r="J4" s="242"/>
      <c r="K4" s="242"/>
    </row>
    <row r="5" spans="8:11" ht="12.75">
      <c r="H5" s="5" t="s">
        <v>49</v>
      </c>
      <c r="I5" s="6"/>
      <c r="J5" s="6"/>
      <c r="K5" s="6"/>
    </row>
    <row r="6" spans="8:11" ht="13.5" customHeight="1">
      <c r="H6" s="201" t="s">
        <v>287</v>
      </c>
      <c r="I6" s="201"/>
      <c r="J6" s="201"/>
      <c r="K6" s="201"/>
    </row>
    <row r="7" ht="13.5" customHeight="1"/>
    <row r="8" spans="1:11" ht="15.75">
      <c r="A8" s="219" t="s">
        <v>186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ht="15" customHeight="1">
      <c r="A9" s="219" t="s">
        <v>115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8:11" ht="13.5" thickBot="1">
      <c r="H10" s="243" t="s">
        <v>187</v>
      </c>
      <c r="I10" s="243"/>
      <c r="J10" s="243"/>
      <c r="K10" s="243"/>
    </row>
    <row r="11" spans="1:11" ht="24.75" customHeight="1" thickBot="1">
      <c r="A11" s="220" t="s">
        <v>51</v>
      </c>
      <c r="B11" s="244" t="s">
        <v>116</v>
      </c>
      <c r="C11" s="236" t="s">
        <v>53</v>
      </c>
      <c r="D11" s="237"/>
      <c r="E11" s="237"/>
      <c r="F11" s="237"/>
      <c r="G11" s="238"/>
      <c r="H11" s="228" t="s">
        <v>54</v>
      </c>
      <c r="I11" s="229"/>
      <c r="J11" s="230"/>
      <c r="K11" s="214" t="s">
        <v>55</v>
      </c>
    </row>
    <row r="12" spans="1:11" ht="40.5" customHeight="1" thickBot="1">
      <c r="A12" s="221"/>
      <c r="B12" s="245"/>
      <c r="C12" s="239" t="s">
        <v>56</v>
      </c>
      <c r="D12" s="236" t="s">
        <v>57</v>
      </c>
      <c r="E12" s="237"/>
      <c r="F12" s="237"/>
      <c r="G12" s="238"/>
      <c r="H12" s="239" t="s">
        <v>56</v>
      </c>
      <c r="I12" s="15" t="s">
        <v>58</v>
      </c>
      <c r="J12" s="214" t="s">
        <v>59</v>
      </c>
      <c r="K12" s="247"/>
    </row>
    <row r="13" spans="1:11" ht="96" customHeight="1" thickBot="1">
      <c r="A13" s="222"/>
      <c r="B13" s="246"/>
      <c r="C13" s="240"/>
      <c r="D13" s="15" t="s">
        <v>60</v>
      </c>
      <c r="E13" s="15" t="s">
        <v>61</v>
      </c>
      <c r="F13" s="15" t="s">
        <v>62</v>
      </c>
      <c r="G13" s="15" t="s">
        <v>117</v>
      </c>
      <c r="H13" s="240"/>
      <c r="I13" s="15" t="s">
        <v>64</v>
      </c>
      <c r="J13" s="215"/>
      <c r="K13" s="215"/>
    </row>
    <row r="14" spans="1:11" ht="13.5" thickBot="1">
      <c r="A14" s="71">
        <v>1</v>
      </c>
      <c r="B14" s="72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9</v>
      </c>
      <c r="J14" s="73">
        <v>10</v>
      </c>
      <c r="K14" s="73">
        <v>11</v>
      </c>
    </row>
    <row r="15" spans="1:59" s="38" customFormat="1" ht="12.75">
      <c r="A15" s="80"/>
      <c r="B15" s="81" t="s">
        <v>118</v>
      </c>
      <c r="C15" s="82">
        <f>C16+C18+C19+C22+C24+C27+C28+C17+C20+C21+C25+C26</f>
        <v>18178</v>
      </c>
      <c r="D15" s="82">
        <f>D16+D18+D19+D22+D24+D27+D28+D17+D20+D21+D25+D26</f>
        <v>576.5</v>
      </c>
      <c r="E15" s="82">
        <f>E16+E18+E19+E22+E24+E27+E28+E17+E20+E21+E25+E26</f>
        <v>991.6</v>
      </c>
      <c r="F15" s="82">
        <f>F16+F18+F19+F22+F24+F27+F28+F17+F20+F21+F25+F26</f>
        <v>15986.8</v>
      </c>
      <c r="G15" s="82">
        <f>G16+G18+G19+G22+G24+G27+G28+G17</f>
        <v>623.1</v>
      </c>
      <c r="H15" s="82">
        <f>H16+H18+H19+H22+H24+H27+H28+H23+H20+H21</f>
        <v>17663.3</v>
      </c>
      <c r="I15" s="82">
        <f>I16+I18+I19+I22+I24+I27+I28+I23</f>
        <v>17663.3</v>
      </c>
      <c r="J15" s="82">
        <f>J16+J18+J19+J22+J24+J27+J28</f>
        <v>0</v>
      </c>
      <c r="K15" s="83">
        <f>C15+H15</f>
        <v>35841.3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59" ht="12.75">
      <c r="A16" s="66" t="s">
        <v>67</v>
      </c>
      <c r="B16" s="40" t="s">
        <v>68</v>
      </c>
      <c r="C16" s="30">
        <f>D16+E16+F16</f>
        <v>3890</v>
      </c>
      <c r="D16" s="25">
        <f>539.7+19.4+14</f>
        <v>573.1</v>
      </c>
      <c r="E16" s="25">
        <v>991.6</v>
      </c>
      <c r="F16" s="25">
        <f>2318.1+7.2</f>
        <v>2325.2999999999997</v>
      </c>
      <c r="G16" s="25"/>
      <c r="H16" s="25"/>
      <c r="I16" s="25"/>
      <c r="J16" s="25"/>
      <c r="K16" s="84">
        <f aca="true" t="shared" si="0" ref="K16:K116">C16+H16</f>
        <v>3890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25.5" customHeight="1">
      <c r="A17" s="66" t="s">
        <v>71</v>
      </c>
      <c r="B17" s="48" t="s">
        <v>72</v>
      </c>
      <c r="C17" s="30">
        <f>D17+E17+F17+G17</f>
        <v>6813.1</v>
      </c>
      <c r="D17" s="25"/>
      <c r="E17" s="25"/>
      <c r="F17" s="25">
        <f>3300+800+1500+590</f>
        <v>6190</v>
      </c>
      <c r="G17" s="25">
        <f>590.1-7+30+1.1-1.1+10</f>
        <v>623.1</v>
      </c>
      <c r="H17" s="25"/>
      <c r="I17" s="25"/>
      <c r="J17" s="25"/>
      <c r="K17" s="84">
        <f t="shared" si="0"/>
        <v>6813.1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25.5">
      <c r="A18" s="66" t="s">
        <v>119</v>
      </c>
      <c r="B18" s="40" t="s">
        <v>197</v>
      </c>
      <c r="C18" s="30">
        <f aca="true" t="shared" si="1" ref="C18:C28">D18+E18+F18+G18</f>
        <v>36</v>
      </c>
      <c r="D18" s="25"/>
      <c r="E18" s="25"/>
      <c r="F18" s="25">
        <v>36</v>
      </c>
      <c r="G18" s="25"/>
      <c r="H18" s="25"/>
      <c r="I18" s="25"/>
      <c r="J18" s="25"/>
      <c r="K18" s="84">
        <f t="shared" si="0"/>
        <v>36</v>
      </c>
      <c r="L18" s="116"/>
      <c r="M18" s="116"/>
      <c r="N18" s="116"/>
      <c r="O18" s="116"/>
      <c r="P18" s="11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25.5">
      <c r="A19" s="66" t="s">
        <v>81</v>
      </c>
      <c r="B19" s="24" t="s">
        <v>82</v>
      </c>
      <c r="C19" s="30">
        <f t="shared" si="1"/>
        <v>37</v>
      </c>
      <c r="D19" s="25"/>
      <c r="E19" s="25"/>
      <c r="F19" s="25">
        <f>27+10</f>
        <v>37</v>
      </c>
      <c r="G19" s="25"/>
      <c r="H19" s="25"/>
      <c r="I19" s="25"/>
      <c r="J19" s="25"/>
      <c r="K19" s="84">
        <f t="shared" si="0"/>
        <v>37</v>
      </c>
      <c r="L19" s="116"/>
      <c r="M19" s="86"/>
      <c r="N19" s="86"/>
      <c r="O19" s="86"/>
      <c r="P19" s="117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2.75">
      <c r="A20" s="66" t="s">
        <v>20</v>
      </c>
      <c r="B20" s="24" t="s">
        <v>19</v>
      </c>
      <c r="C20" s="30">
        <f t="shared" si="1"/>
        <v>1501.3</v>
      </c>
      <c r="D20" s="25"/>
      <c r="E20" s="25"/>
      <c r="F20" s="25">
        <f>1000+501.3</f>
        <v>1501.3</v>
      </c>
      <c r="G20" s="25"/>
      <c r="H20" s="25"/>
      <c r="I20" s="25"/>
      <c r="J20" s="25"/>
      <c r="K20" s="84">
        <f t="shared" si="0"/>
        <v>1501.3</v>
      </c>
      <c r="L20" s="116"/>
      <c r="M20" s="86"/>
      <c r="N20" s="86"/>
      <c r="O20" s="86"/>
      <c r="P20" s="117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2.75">
      <c r="A21" s="66" t="s">
        <v>22</v>
      </c>
      <c r="B21" s="24" t="s">
        <v>120</v>
      </c>
      <c r="C21" s="30">
        <f t="shared" si="1"/>
        <v>2035</v>
      </c>
      <c r="D21" s="25"/>
      <c r="E21" s="25"/>
      <c r="F21" s="25">
        <f>1700+335+1050-1050</f>
        <v>2035</v>
      </c>
      <c r="G21" s="25"/>
      <c r="H21" s="25"/>
      <c r="I21" s="25"/>
      <c r="J21" s="25"/>
      <c r="K21" s="84">
        <f t="shared" si="0"/>
        <v>2035</v>
      </c>
      <c r="L21" s="116"/>
      <c r="M21" s="86"/>
      <c r="N21" s="86"/>
      <c r="O21" s="86"/>
      <c r="P21" s="117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25.5">
      <c r="A22" s="66">
        <v>180109</v>
      </c>
      <c r="B22" s="24" t="s">
        <v>101</v>
      </c>
      <c r="C22" s="30">
        <f t="shared" si="1"/>
        <v>3529.5</v>
      </c>
      <c r="D22" s="25"/>
      <c r="E22" s="25"/>
      <c r="F22" s="25">
        <f>4700.4+38.7-14.9-1194.7</f>
        <v>3529.5</v>
      </c>
      <c r="G22" s="25"/>
      <c r="H22" s="25"/>
      <c r="I22" s="25"/>
      <c r="J22" s="25"/>
      <c r="K22" s="84">
        <f t="shared" si="0"/>
        <v>3529.5</v>
      </c>
      <c r="L22" s="116"/>
      <c r="M22" s="117"/>
      <c r="N22" s="117"/>
      <c r="O22" s="117"/>
      <c r="P22" s="117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51">
      <c r="A23" s="66" t="s">
        <v>4</v>
      </c>
      <c r="B23" s="20" t="s">
        <v>5</v>
      </c>
      <c r="C23" s="30"/>
      <c r="D23" s="25"/>
      <c r="E23" s="25"/>
      <c r="F23" s="25"/>
      <c r="G23" s="25"/>
      <c r="H23" s="25">
        <f>30+30+30</f>
        <v>90</v>
      </c>
      <c r="I23" s="25">
        <f>30+30+30</f>
        <v>90</v>
      </c>
      <c r="J23" s="25"/>
      <c r="K23" s="84">
        <f t="shared" si="0"/>
        <v>90</v>
      </c>
      <c r="L23" s="116"/>
      <c r="M23" s="117"/>
      <c r="N23" s="117"/>
      <c r="O23" s="117"/>
      <c r="P23" s="117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3.5" customHeight="1">
      <c r="A24" s="69">
        <v>150101</v>
      </c>
      <c r="B24" s="20" t="s">
        <v>98</v>
      </c>
      <c r="C24" s="30">
        <f t="shared" si="1"/>
        <v>0</v>
      </c>
      <c r="D24" s="25"/>
      <c r="E24" s="25"/>
      <c r="F24" s="25"/>
      <c r="G24" s="25"/>
      <c r="H24" s="25">
        <f>I24</f>
        <v>17573.3</v>
      </c>
      <c r="I24" s="25">
        <f>20000-2426.7</f>
        <v>17573.3</v>
      </c>
      <c r="J24" s="25"/>
      <c r="K24" s="84">
        <f t="shared" si="0"/>
        <v>17573.3</v>
      </c>
      <c r="L24" s="116"/>
      <c r="M24" s="86"/>
      <c r="N24" s="86"/>
      <c r="O24" s="86"/>
      <c r="P24" s="117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ht="38.25">
      <c r="A25" s="69" t="s">
        <v>308</v>
      </c>
      <c r="B25" s="20" t="s">
        <v>309</v>
      </c>
      <c r="C25" s="30">
        <f t="shared" si="1"/>
        <v>54.5</v>
      </c>
      <c r="D25" s="25"/>
      <c r="E25" s="25"/>
      <c r="F25" s="25">
        <v>54.5</v>
      </c>
      <c r="G25" s="25"/>
      <c r="H25" s="25"/>
      <c r="I25" s="25"/>
      <c r="J25" s="25"/>
      <c r="K25" s="84">
        <f t="shared" si="0"/>
        <v>54.5</v>
      </c>
      <c r="L25" s="116"/>
      <c r="M25" s="86"/>
      <c r="N25" s="86"/>
      <c r="O25" s="86"/>
      <c r="P25" s="117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12.75">
      <c r="A26" s="69" t="s">
        <v>313</v>
      </c>
      <c r="B26" s="20" t="s">
        <v>314</v>
      </c>
      <c r="C26" s="30">
        <f t="shared" si="1"/>
        <v>0</v>
      </c>
      <c r="D26" s="25"/>
      <c r="E26" s="25"/>
      <c r="F26" s="25">
        <f>2000-2000</f>
        <v>0</v>
      </c>
      <c r="G26" s="25"/>
      <c r="H26" s="25"/>
      <c r="I26" s="25"/>
      <c r="J26" s="25"/>
      <c r="K26" s="84">
        <f t="shared" si="0"/>
        <v>0</v>
      </c>
      <c r="L26" s="116"/>
      <c r="M26" s="86"/>
      <c r="N26" s="86"/>
      <c r="O26" s="86"/>
      <c r="P26" s="117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ht="12.75">
      <c r="A27" s="66">
        <v>250404</v>
      </c>
      <c r="B27" s="40" t="s">
        <v>120</v>
      </c>
      <c r="C27" s="30">
        <f t="shared" si="1"/>
        <v>274.6</v>
      </c>
      <c r="D27" s="25"/>
      <c r="E27" s="25"/>
      <c r="F27" s="25">
        <f>225+49.6</f>
        <v>274.6</v>
      </c>
      <c r="G27" s="25"/>
      <c r="H27" s="25"/>
      <c r="I27" s="25"/>
      <c r="J27" s="25"/>
      <c r="K27" s="84">
        <f t="shared" si="0"/>
        <v>274.6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ht="25.5">
      <c r="A28" s="66" t="s">
        <v>121</v>
      </c>
      <c r="B28" s="24" t="s">
        <v>297</v>
      </c>
      <c r="C28" s="30">
        <f t="shared" si="1"/>
        <v>7</v>
      </c>
      <c r="D28" s="25">
        <f>1.7+1.7</f>
        <v>3.4</v>
      </c>
      <c r="E28" s="25"/>
      <c r="F28" s="25">
        <f>105-101.5+1.8-1.7</f>
        <v>3.5999999999999996</v>
      </c>
      <c r="G28" s="25"/>
      <c r="H28" s="25"/>
      <c r="I28" s="25"/>
      <c r="J28" s="25"/>
      <c r="K28" s="84">
        <f t="shared" si="0"/>
        <v>7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12" s="21" customFormat="1" ht="27.75" customHeight="1">
      <c r="A29" s="67"/>
      <c r="B29" s="51" t="s">
        <v>122</v>
      </c>
      <c r="C29" s="45">
        <f>C30+C33</f>
        <v>86168.40000000002</v>
      </c>
      <c r="D29" s="45">
        <f aca="true" t="shared" si="2" ref="D29:I29">D30+D33</f>
        <v>34501.200000000004</v>
      </c>
      <c r="E29" s="45">
        <f t="shared" si="2"/>
        <v>8253</v>
      </c>
      <c r="F29" s="45">
        <f>F30+F33</f>
        <v>40789.200000000004</v>
      </c>
      <c r="G29" s="45">
        <f t="shared" si="2"/>
        <v>2625</v>
      </c>
      <c r="H29" s="45">
        <f t="shared" si="2"/>
        <v>1088.8</v>
      </c>
      <c r="I29" s="45">
        <f t="shared" si="2"/>
        <v>0</v>
      </c>
      <c r="J29" s="45"/>
      <c r="K29" s="85">
        <f t="shared" si="0"/>
        <v>87257.20000000003</v>
      </c>
      <c r="L29" s="23"/>
    </row>
    <row r="30" spans="1:59" ht="38.25">
      <c r="A30" s="66" t="s">
        <v>73</v>
      </c>
      <c r="B30" s="24" t="s">
        <v>206</v>
      </c>
      <c r="C30" s="30">
        <f>D30+E30+F30+G30</f>
        <v>85786.30000000002</v>
      </c>
      <c r="D30" s="30">
        <f>32986.3+1305.5</f>
        <v>34291.8</v>
      </c>
      <c r="E30" s="30">
        <f>8440.6-191.7</f>
        <v>8248.9</v>
      </c>
      <c r="F30" s="30">
        <f>35411.3+14.9+186.5+1092.6+1900+1583.3+191.7+240.3</f>
        <v>40620.600000000006</v>
      </c>
      <c r="G30" s="30">
        <f>2906-34+5-133.8-99.7-18.5</f>
        <v>2625</v>
      </c>
      <c r="H30" s="25">
        <v>1088.8</v>
      </c>
      <c r="I30" s="25"/>
      <c r="J30" s="25"/>
      <c r="K30" s="84">
        <f t="shared" si="0"/>
        <v>86875.10000000002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25.5">
      <c r="A31" s="66"/>
      <c r="B31" s="40" t="s">
        <v>211</v>
      </c>
      <c r="C31" s="30">
        <f>D31+E31+F31+G31</f>
        <v>129.1</v>
      </c>
      <c r="D31" s="25"/>
      <c r="E31" s="25"/>
      <c r="F31" s="25">
        <f>79.5+49.6</f>
        <v>129.1</v>
      </c>
      <c r="G31" s="25"/>
      <c r="H31" s="25"/>
      <c r="I31" s="25"/>
      <c r="J31" s="25"/>
      <c r="K31" s="84">
        <f>C31+H31</f>
        <v>129.1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96.75" customHeight="1">
      <c r="A32" s="66"/>
      <c r="B32" s="90" t="s">
        <v>212</v>
      </c>
      <c r="C32" s="30">
        <f>D32+E32+F32+G32</f>
        <v>593.9</v>
      </c>
      <c r="D32" s="25">
        <f>195.1+9.2</f>
        <v>204.29999999999998</v>
      </c>
      <c r="E32" s="25">
        <v>49</v>
      </c>
      <c r="F32" s="25">
        <f>321.6+14.9+4.1</f>
        <v>340.6</v>
      </c>
      <c r="G32" s="25"/>
      <c r="H32" s="25">
        <v>197</v>
      </c>
      <c r="I32" s="25"/>
      <c r="J32" s="25"/>
      <c r="K32" s="84">
        <f>C32+H32</f>
        <v>790.9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25.5" customHeight="1">
      <c r="A33" s="66">
        <v>130000</v>
      </c>
      <c r="B33" s="40" t="s">
        <v>123</v>
      </c>
      <c r="C33" s="30">
        <f>D33+E33+F33</f>
        <v>382.1</v>
      </c>
      <c r="D33" s="25">
        <f>200.5+2+6.9</f>
        <v>209.4</v>
      </c>
      <c r="E33" s="25">
        <v>4.1</v>
      </c>
      <c r="F33" s="25">
        <f>164.7+0.8+3.1</f>
        <v>168.6</v>
      </c>
      <c r="G33" s="25"/>
      <c r="H33" s="25"/>
      <c r="I33" s="25"/>
      <c r="J33" s="25"/>
      <c r="K33" s="84">
        <f t="shared" si="0"/>
        <v>382.1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s="21" customFormat="1" ht="12.75">
      <c r="A34" s="67"/>
      <c r="B34" s="52" t="s">
        <v>124</v>
      </c>
      <c r="C34" s="45">
        <f>C35+C38+C39+C40</f>
        <v>252570.8</v>
      </c>
      <c r="D34" s="45">
        <f>D35+D38+D39+D40</f>
        <v>97401.2</v>
      </c>
      <c r="E34" s="45">
        <f>E35+E38+E39+E40</f>
        <v>16663.9</v>
      </c>
      <c r="F34" s="45">
        <f>F35+F38+F39+F40+F36+F41</f>
        <v>128956.80000000002</v>
      </c>
      <c r="G34" s="45">
        <f>G35+G38+G39+G40</f>
        <v>9548.900000000001</v>
      </c>
      <c r="H34" s="45">
        <f>H35+H38+H39+H40+H41</f>
        <v>22033.300000000003</v>
      </c>
      <c r="I34" s="45">
        <f>I35+I38+I39+I40+I41</f>
        <v>10964.9</v>
      </c>
      <c r="J34" s="45">
        <f>J35+J37+J38+J39</f>
        <v>0</v>
      </c>
      <c r="K34" s="85">
        <f>C34+H34</f>
        <v>274604.1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</row>
    <row r="35" spans="1:59" ht="61.5" customHeight="1">
      <c r="A35" s="66" t="s">
        <v>75</v>
      </c>
      <c r="B35" s="40" t="s">
        <v>279</v>
      </c>
      <c r="C35" s="30">
        <f>D35+E35+F35+G35</f>
        <v>245582.9</v>
      </c>
      <c r="D35" s="25">
        <f>87737.8+4196.7+2772-92.8</f>
        <v>94613.7</v>
      </c>
      <c r="E35" s="25">
        <f>17340.4-1100</f>
        <v>16240.400000000001</v>
      </c>
      <c r="F35" s="25">
        <f>94179.5+150+8269+1200+1552.8+400+2360+13814+1400+500+594.7+667.1+92.8</f>
        <v>125179.90000000001</v>
      </c>
      <c r="G35" s="25">
        <f>G36</f>
        <v>9548.900000000001</v>
      </c>
      <c r="H35" s="25">
        <f>8100</f>
        <v>8100</v>
      </c>
      <c r="I35" s="25"/>
      <c r="J35" s="25"/>
      <c r="K35" s="84">
        <f t="shared" si="0"/>
        <v>253682.9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24" customHeight="1">
      <c r="A36" s="66"/>
      <c r="B36" s="24" t="s">
        <v>2</v>
      </c>
      <c r="C36" s="30">
        <f>D36+E36+F36+G36</f>
        <v>9548.900000000001</v>
      </c>
      <c r="D36" s="25"/>
      <c r="E36" s="25"/>
      <c r="F36" s="25"/>
      <c r="G36" s="25">
        <f>9687.9-37+7.2+47.6+157.7-19.4-295.1</f>
        <v>9548.900000000001</v>
      </c>
      <c r="H36" s="25"/>
      <c r="I36" s="25"/>
      <c r="J36" s="25"/>
      <c r="K36" s="84">
        <f t="shared" si="0"/>
        <v>9548.900000000001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2.75">
      <c r="A37" s="66"/>
      <c r="B37" s="40" t="s">
        <v>3</v>
      </c>
      <c r="C37" s="30">
        <f>D37+E37+F37</f>
        <v>19955</v>
      </c>
      <c r="D37" s="25"/>
      <c r="E37" s="25"/>
      <c r="F37" s="25">
        <f>7269+1000+13814-2628+500</f>
        <v>19955</v>
      </c>
      <c r="G37" s="25"/>
      <c r="H37" s="25"/>
      <c r="I37" s="25"/>
      <c r="J37" s="25"/>
      <c r="K37" s="84">
        <f t="shared" si="0"/>
        <v>19955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ht="51">
      <c r="A38" s="66" t="s">
        <v>73</v>
      </c>
      <c r="B38" s="40" t="s">
        <v>213</v>
      </c>
      <c r="C38" s="30">
        <f>D38+E38+F38</f>
        <v>6607.099999999999</v>
      </c>
      <c r="D38" s="25">
        <f>2564.5+111.5+6.8</f>
        <v>2682.8</v>
      </c>
      <c r="E38" s="25">
        <v>411.7</v>
      </c>
      <c r="F38" s="25">
        <f>2926.1+593.3-6.8</f>
        <v>3512.5999999999995</v>
      </c>
      <c r="G38" s="25"/>
      <c r="H38" s="25">
        <f>2903.6+64.8</f>
        <v>2968.4</v>
      </c>
      <c r="I38" s="25"/>
      <c r="J38" s="25"/>
      <c r="K38" s="84">
        <f t="shared" si="0"/>
        <v>9575.5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ht="12.75">
      <c r="A39" s="66">
        <v>110201</v>
      </c>
      <c r="B39" s="40" t="s">
        <v>125</v>
      </c>
      <c r="C39" s="30">
        <f>D39+E39+F39</f>
        <v>380.8</v>
      </c>
      <c r="D39" s="25">
        <f>97.1+4.2+3.4</f>
        <v>104.7</v>
      </c>
      <c r="E39" s="25">
        <v>11.8</v>
      </c>
      <c r="F39" s="25">
        <f>262.7+1.6</f>
        <v>264.3</v>
      </c>
      <c r="G39" s="25"/>
      <c r="H39" s="25"/>
      <c r="I39" s="25"/>
      <c r="J39" s="25"/>
      <c r="K39" s="84">
        <f t="shared" si="0"/>
        <v>380.8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13" s="21" customFormat="1" ht="54.75" customHeight="1">
      <c r="A40" s="69" t="s">
        <v>265</v>
      </c>
      <c r="B40" s="90" t="s">
        <v>282</v>
      </c>
      <c r="C40" s="30">
        <f>D40+E40+F40</f>
        <v>0</v>
      </c>
      <c r="D40" s="30"/>
      <c r="E40" s="30"/>
      <c r="F40" s="30"/>
      <c r="G40" s="30"/>
      <c r="H40" s="30">
        <f>I40</f>
        <v>10000</v>
      </c>
      <c r="I40" s="30">
        <v>10000</v>
      </c>
      <c r="J40" s="30"/>
      <c r="K40" s="84">
        <f t="shared" si="0"/>
        <v>10000</v>
      </c>
      <c r="L40" s="28"/>
      <c r="M40" s="29"/>
    </row>
    <row r="41" spans="1:13" s="21" customFormat="1" ht="12.75">
      <c r="A41" s="69" t="s">
        <v>17</v>
      </c>
      <c r="B41" s="20" t="s">
        <v>18</v>
      </c>
      <c r="C41" s="30">
        <f>D41+E41+F41</f>
        <v>0</v>
      </c>
      <c r="D41" s="30"/>
      <c r="E41" s="30"/>
      <c r="F41" s="30"/>
      <c r="G41" s="30"/>
      <c r="H41" s="30">
        <f>I41</f>
        <v>964.9</v>
      </c>
      <c r="I41" s="30">
        <f>900+64.9</f>
        <v>964.9</v>
      </c>
      <c r="J41" s="30"/>
      <c r="K41" s="84">
        <f t="shared" si="0"/>
        <v>964.9</v>
      </c>
      <c r="L41" s="28"/>
      <c r="M41" s="29"/>
    </row>
    <row r="42" spans="1:59" s="21" customFormat="1" ht="25.5">
      <c r="A42" s="67"/>
      <c r="B42" s="52" t="s">
        <v>300</v>
      </c>
      <c r="C42" s="45">
        <f>C43+C44+C45+C46+C49+C50+C51+C52+C53+C54+C48</f>
        <v>51003.499999999985</v>
      </c>
      <c r="D42" s="45">
        <f aca="true" t="shared" si="3" ref="D42:I42">D43+D44+D45+D46+D49+D50+D51+D52+D53+D54</f>
        <v>14059.999999999998</v>
      </c>
      <c r="E42" s="45">
        <f t="shared" si="3"/>
        <v>4632.7</v>
      </c>
      <c r="F42" s="45">
        <f>F43+F44+F45+F46+F49+F50+F51+F52+F53+F54+F48</f>
        <v>32237.499999999996</v>
      </c>
      <c r="G42" s="45">
        <f t="shared" si="3"/>
        <v>73.3</v>
      </c>
      <c r="H42" s="45">
        <f>H43+H44+H45+H46+H49+H50+H51+H52+H53+H54+H48</f>
        <v>6743.9</v>
      </c>
      <c r="I42" s="45">
        <f t="shared" si="3"/>
        <v>0</v>
      </c>
      <c r="J42" s="45"/>
      <c r="K42" s="85">
        <f>C42+H42</f>
        <v>57747.39999999999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ht="27" customHeight="1">
      <c r="A43" s="66" t="s">
        <v>79</v>
      </c>
      <c r="B43" s="24" t="s">
        <v>80</v>
      </c>
      <c r="C43" s="30">
        <f>D43+E43+F43</f>
        <v>9.6</v>
      </c>
      <c r="D43" s="25"/>
      <c r="E43" s="25"/>
      <c r="F43" s="25">
        <v>9.6</v>
      </c>
      <c r="G43" s="25"/>
      <c r="H43" s="25"/>
      <c r="I43" s="25"/>
      <c r="J43" s="25"/>
      <c r="K43" s="84">
        <f t="shared" si="0"/>
        <v>9.6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12.75">
      <c r="A44" s="66" t="s">
        <v>268</v>
      </c>
      <c r="B44" s="20" t="s">
        <v>269</v>
      </c>
      <c r="C44" s="30">
        <f>D44+E44+F44</f>
        <v>8169.5</v>
      </c>
      <c r="D44" s="25">
        <f>2746.1+171.7-34</f>
        <v>2883.7999999999997</v>
      </c>
      <c r="E44" s="25">
        <f>657.8+31</f>
        <v>688.8</v>
      </c>
      <c r="F44" s="25">
        <f>4220.3+63.6+502-158-31</f>
        <v>4596.900000000001</v>
      </c>
      <c r="G44" s="25"/>
      <c r="H44" s="25">
        <v>435.4</v>
      </c>
      <c r="I44" s="25"/>
      <c r="J44" s="25"/>
      <c r="K44" s="84">
        <f t="shared" si="0"/>
        <v>8604.9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25.5">
      <c r="A45" s="66" t="s">
        <v>270</v>
      </c>
      <c r="B45" s="20" t="s">
        <v>271</v>
      </c>
      <c r="C45" s="30">
        <f>D45+E45+F45+G45</f>
        <v>36069.299999999996</v>
      </c>
      <c r="D45" s="25">
        <f>9812.9+494.8+74.4+34</f>
        <v>10416.099999999999</v>
      </c>
      <c r="E45" s="25">
        <f>3796.7+78.8</f>
        <v>3875.5</v>
      </c>
      <c r="F45" s="25">
        <f>19224.8+183.1+410+2716-502-153.2-150</f>
        <v>21728.699999999997</v>
      </c>
      <c r="G45" s="25">
        <v>49</v>
      </c>
      <c r="H45" s="25">
        <v>5906.5</v>
      </c>
      <c r="I45" s="25"/>
      <c r="J45" s="25"/>
      <c r="K45" s="84">
        <f t="shared" si="0"/>
        <v>41975.799999999996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25.5">
      <c r="A46" s="66" t="s">
        <v>81</v>
      </c>
      <c r="B46" s="24" t="s">
        <v>82</v>
      </c>
      <c r="C46" s="30">
        <f>D46+E46+F46+G46</f>
        <v>1149.7</v>
      </c>
      <c r="D46" s="25"/>
      <c r="E46" s="25"/>
      <c r="F46" s="25">
        <f>50+720+13+256+30+56.4</f>
        <v>1125.4</v>
      </c>
      <c r="G46" s="25">
        <f>4.9+19.4</f>
        <v>24.299999999999997</v>
      </c>
      <c r="H46" s="25">
        <v>205</v>
      </c>
      <c r="I46" s="25"/>
      <c r="J46" s="25"/>
      <c r="K46" s="84">
        <f t="shared" si="0"/>
        <v>1354.7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60">
      <c r="A47" s="66"/>
      <c r="B47" s="74" t="s">
        <v>126</v>
      </c>
      <c r="C47" s="30">
        <v>720</v>
      </c>
      <c r="D47" s="25"/>
      <c r="E47" s="25"/>
      <c r="F47" s="25">
        <v>720</v>
      </c>
      <c r="G47" s="25"/>
      <c r="H47" s="25"/>
      <c r="I47" s="25"/>
      <c r="J47" s="25"/>
      <c r="K47" s="84">
        <f t="shared" si="0"/>
        <v>720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25.5">
      <c r="A48" s="66" t="s">
        <v>25</v>
      </c>
      <c r="B48" s="20" t="s">
        <v>26</v>
      </c>
      <c r="C48" s="30">
        <f>D48+E48+F48</f>
        <v>1537.8</v>
      </c>
      <c r="D48" s="30"/>
      <c r="E48" s="30"/>
      <c r="F48" s="30">
        <f>1068.3+469.5</f>
        <v>1537.8</v>
      </c>
      <c r="G48" s="30"/>
      <c r="H48" s="30"/>
      <c r="I48" s="30"/>
      <c r="J48" s="30"/>
      <c r="K48" s="70">
        <f t="shared" si="0"/>
        <v>1537.8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25.5">
      <c r="A49" s="66" t="s">
        <v>83</v>
      </c>
      <c r="B49" s="24" t="s">
        <v>127</v>
      </c>
      <c r="C49" s="30">
        <f aca="true" t="shared" si="4" ref="C49:C68">D49+E49+F49</f>
        <v>1324.2</v>
      </c>
      <c r="D49" s="25"/>
      <c r="E49" s="25"/>
      <c r="F49" s="25">
        <f>518.7+493.7+311.8</f>
        <v>1324.2</v>
      </c>
      <c r="G49" s="25"/>
      <c r="H49" s="25"/>
      <c r="I49" s="25"/>
      <c r="J49" s="25"/>
      <c r="K49" s="84">
        <f t="shared" si="0"/>
        <v>1324.2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94.5" customHeight="1">
      <c r="A50" s="66" t="s">
        <v>85</v>
      </c>
      <c r="B50" s="24" t="s">
        <v>192</v>
      </c>
      <c r="C50" s="30">
        <f t="shared" si="4"/>
        <v>500</v>
      </c>
      <c r="D50" s="25"/>
      <c r="E50" s="25"/>
      <c r="F50" s="25">
        <v>500</v>
      </c>
      <c r="G50" s="25"/>
      <c r="H50" s="25"/>
      <c r="I50" s="25"/>
      <c r="J50" s="25"/>
      <c r="K50" s="84">
        <f t="shared" si="0"/>
        <v>500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25.5">
      <c r="A51" s="66" t="s">
        <v>86</v>
      </c>
      <c r="B51" s="40" t="s">
        <v>87</v>
      </c>
      <c r="C51" s="30">
        <f t="shared" si="4"/>
        <v>100.1</v>
      </c>
      <c r="D51" s="25"/>
      <c r="E51" s="25"/>
      <c r="F51" s="25">
        <f>50.1+50</f>
        <v>100.1</v>
      </c>
      <c r="G51" s="25"/>
      <c r="H51" s="25"/>
      <c r="I51" s="25"/>
      <c r="J51" s="25"/>
      <c r="K51" s="84">
        <f t="shared" si="0"/>
        <v>100.1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25.5">
      <c r="A52" s="66" t="s">
        <v>275</v>
      </c>
      <c r="B52" s="20" t="s">
        <v>276</v>
      </c>
      <c r="C52" s="30">
        <f t="shared" si="4"/>
        <v>12.1</v>
      </c>
      <c r="D52" s="25">
        <v>8.6</v>
      </c>
      <c r="E52" s="25"/>
      <c r="F52" s="25">
        <v>3.5</v>
      </c>
      <c r="G52" s="25"/>
      <c r="H52" s="25"/>
      <c r="I52" s="25"/>
      <c r="J52" s="25"/>
      <c r="K52" s="84">
        <f t="shared" si="0"/>
        <v>12.1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30" customHeight="1">
      <c r="A53" s="66" t="s">
        <v>88</v>
      </c>
      <c r="B53" s="24" t="s">
        <v>278</v>
      </c>
      <c r="C53" s="30">
        <f t="shared" si="4"/>
        <v>2131.2</v>
      </c>
      <c r="D53" s="25">
        <f>750.8+0.7</f>
        <v>751.5</v>
      </c>
      <c r="E53" s="25">
        <v>68.4</v>
      </c>
      <c r="F53" s="25">
        <f>1153+0.3+158</f>
        <v>1311.3</v>
      </c>
      <c r="G53" s="25"/>
      <c r="H53" s="25">
        <v>197</v>
      </c>
      <c r="I53" s="25"/>
      <c r="J53" s="25"/>
      <c r="K53" s="84">
        <f t="shared" si="0"/>
        <v>2328.2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ht="12.75" hidden="1">
      <c r="A54" s="66" t="s">
        <v>266</v>
      </c>
      <c r="B54" s="151"/>
      <c r="C54" s="30">
        <f t="shared" si="4"/>
        <v>0</v>
      </c>
      <c r="D54" s="30"/>
      <c r="E54" s="30"/>
      <c r="F54" s="30"/>
      <c r="G54" s="30"/>
      <c r="H54" s="30"/>
      <c r="I54" s="30"/>
      <c r="J54" s="30"/>
      <c r="K54" s="84">
        <f>C54+H54</f>
        <v>0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</row>
    <row r="55" spans="1:59" ht="24" customHeight="1">
      <c r="A55" s="67"/>
      <c r="B55" s="53" t="s">
        <v>128</v>
      </c>
      <c r="C55" s="45">
        <f>C56</f>
        <v>5815.5</v>
      </c>
      <c r="D55" s="45">
        <f aca="true" t="shared" si="5" ref="D55:J55">D56</f>
        <v>1989.6999999999998</v>
      </c>
      <c r="E55" s="45">
        <f t="shared" si="5"/>
        <v>566.8</v>
      </c>
      <c r="F55" s="45">
        <f t="shared" si="5"/>
        <v>3259</v>
      </c>
      <c r="G55" s="45">
        <f t="shared" si="5"/>
        <v>0</v>
      </c>
      <c r="H55" s="45">
        <f t="shared" si="5"/>
        <v>13.2</v>
      </c>
      <c r="I55" s="45">
        <f t="shared" si="5"/>
        <v>0</v>
      </c>
      <c r="J55" s="45">
        <f t="shared" si="5"/>
        <v>0</v>
      </c>
      <c r="K55" s="85">
        <f t="shared" si="0"/>
        <v>5828.7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:59" ht="12.75">
      <c r="A56" s="66" t="s">
        <v>89</v>
      </c>
      <c r="B56" s="40" t="s">
        <v>90</v>
      </c>
      <c r="C56" s="30">
        <f t="shared" si="4"/>
        <v>5815.5</v>
      </c>
      <c r="D56" s="25">
        <f>2096.7-107</f>
        <v>1989.6999999999998</v>
      </c>
      <c r="E56" s="25">
        <f>669-102.2</f>
        <v>566.8</v>
      </c>
      <c r="F56" s="25">
        <f>3383-139.8+15.8</f>
        <v>3259</v>
      </c>
      <c r="G56" s="25"/>
      <c r="H56" s="25">
        <v>13.2</v>
      </c>
      <c r="I56" s="25"/>
      <c r="J56" s="25"/>
      <c r="K56" s="84">
        <f t="shared" si="0"/>
        <v>5828.7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11" ht="12.75">
      <c r="A57" s="67"/>
      <c r="B57" s="53" t="s">
        <v>285</v>
      </c>
      <c r="C57" s="45">
        <f>D57+E57+F57+G57</f>
        <v>5693.200000000001</v>
      </c>
      <c r="D57" s="45">
        <f>D58+D59+D60+D61+D62+D63+D64+D65+D66+D67</f>
        <v>345.2</v>
      </c>
      <c r="E57" s="45">
        <f>E58+E59+E60+E61+E62+E63+E64+E65+E66+E67</f>
        <v>52.2</v>
      </c>
      <c r="F57" s="45">
        <f>F58+F59+F60+F61+F62+F63+F64+F65+F66+F67+F68</f>
        <v>3378.4</v>
      </c>
      <c r="G57" s="45">
        <f>G58+G59+G60+G61+G62+G63+G64+G65+G66+G67</f>
        <v>1917.4</v>
      </c>
      <c r="H57" s="45">
        <f>H58+H59+H60+H61+H62+H63+H64+H65+H66+H67+H68</f>
        <v>300</v>
      </c>
      <c r="I57" s="45">
        <f>I58+I59+I60+I61+I62+I63+I64+I65+I66+I67+I68</f>
        <v>300</v>
      </c>
      <c r="J57" s="27"/>
      <c r="K57" s="85">
        <f>C57+H57</f>
        <v>5993.200000000001</v>
      </c>
    </row>
    <row r="58" spans="1:59" ht="51">
      <c r="A58" s="66" t="s">
        <v>207</v>
      </c>
      <c r="B58" s="40" t="s">
        <v>208</v>
      </c>
      <c r="C58" s="30">
        <f>D58+E58+F58+G58</f>
        <v>3767.4</v>
      </c>
      <c r="D58" s="30"/>
      <c r="E58" s="30"/>
      <c r="F58" s="30">
        <f>250+1600</f>
        <v>1850</v>
      </c>
      <c r="G58" s="25">
        <f>1807.4+80+51-21</f>
        <v>1917.4</v>
      </c>
      <c r="H58" s="25"/>
      <c r="I58" s="25"/>
      <c r="J58" s="25"/>
      <c r="K58" s="84">
        <f t="shared" si="0"/>
        <v>3767.4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</row>
    <row r="59" spans="1:59" ht="25.5">
      <c r="A59" s="66" t="s">
        <v>239</v>
      </c>
      <c r="B59" s="20" t="s">
        <v>240</v>
      </c>
      <c r="C59" s="30">
        <f t="shared" si="4"/>
        <v>281.9</v>
      </c>
      <c r="D59" s="30">
        <v>155.7</v>
      </c>
      <c r="E59" s="30">
        <f>11</f>
        <v>11</v>
      </c>
      <c r="F59" s="30">
        <f>115.2</f>
        <v>115.2</v>
      </c>
      <c r="G59" s="25"/>
      <c r="H59" s="25"/>
      <c r="I59" s="25"/>
      <c r="J59" s="25"/>
      <c r="K59" s="84">
        <f t="shared" si="0"/>
        <v>281.9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</row>
    <row r="60" spans="1:59" ht="25.5">
      <c r="A60" s="66" t="s">
        <v>241</v>
      </c>
      <c r="B60" s="20" t="s">
        <v>272</v>
      </c>
      <c r="C60" s="30">
        <f t="shared" si="4"/>
        <v>152.7</v>
      </c>
      <c r="D60" s="30"/>
      <c r="E60" s="30">
        <v>3.5</v>
      </c>
      <c r="F60" s="30">
        <f>152.7-3.5</f>
        <v>149.2</v>
      </c>
      <c r="G60" s="25"/>
      <c r="H60" s="25"/>
      <c r="I60" s="25"/>
      <c r="J60" s="25"/>
      <c r="K60" s="84">
        <f t="shared" si="0"/>
        <v>152.7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</row>
    <row r="61" spans="1:59" ht="25.5">
      <c r="A61" s="66" t="s">
        <v>242</v>
      </c>
      <c r="B61" s="20" t="s">
        <v>244</v>
      </c>
      <c r="C61" s="30">
        <f t="shared" si="4"/>
        <v>511.8</v>
      </c>
      <c r="D61" s="30"/>
      <c r="E61" s="30"/>
      <c r="F61" s="30">
        <f>374.1-48.1+82.1+83.7+20</f>
        <v>511.8</v>
      </c>
      <c r="G61" s="25"/>
      <c r="H61" s="25"/>
      <c r="I61" s="25"/>
      <c r="J61" s="25"/>
      <c r="K61" s="84">
        <f t="shared" si="0"/>
        <v>511.8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</row>
    <row r="62" spans="1:59" ht="25.5">
      <c r="A62" s="66" t="s">
        <v>243</v>
      </c>
      <c r="B62" s="20" t="s">
        <v>274</v>
      </c>
      <c r="C62" s="30">
        <f t="shared" si="4"/>
        <v>30</v>
      </c>
      <c r="D62" s="30"/>
      <c r="E62" s="30"/>
      <c r="F62" s="30">
        <v>30</v>
      </c>
      <c r="G62" s="25"/>
      <c r="H62" s="25"/>
      <c r="I62" s="25"/>
      <c r="J62" s="25"/>
      <c r="K62" s="84">
        <f t="shared" si="0"/>
        <v>30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</row>
    <row r="63" spans="1:59" ht="25.5">
      <c r="A63" s="66" t="s">
        <v>245</v>
      </c>
      <c r="B63" s="20" t="s">
        <v>246</v>
      </c>
      <c r="C63" s="30">
        <f t="shared" si="4"/>
        <v>523.4</v>
      </c>
      <c r="D63" s="30">
        <f>105.2+7.9+20.1</f>
        <v>133.20000000000002</v>
      </c>
      <c r="E63" s="30">
        <f>14+2+0.6</f>
        <v>16.6</v>
      </c>
      <c r="F63" s="30">
        <f>301.7-2+3+28+20.5-0.6+23</f>
        <v>373.59999999999997</v>
      </c>
      <c r="G63" s="25"/>
      <c r="H63" s="25"/>
      <c r="I63" s="25"/>
      <c r="J63" s="25"/>
      <c r="K63" s="84">
        <f t="shared" si="0"/>
        <v>523.4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</row>
    <row r="64" spans="1:59" ht="12.75">
      <c r="A64" s="66" t="s">
        <v>247</v>
      </c>
      <c r="B64" s="20" t="s">
        <v>248</v>
      </c>
      <c r="C64" s="30">
        <f t="shared" si="4"/>
        <v>339.29999999999995</v>
      </c>
      <c r="D64" s="30">
        <f>38.1+0.7</f>
        <v>38.800000000000004</v>
      </c>
      <c r="E64" s="30">
        <v>21.1</v>
      </c>
      <c r="F64" s="30">
        <f>150-59.2+0.2+150+38.4</f>
        <v>279.4</v>
      </c>
      <c r="G64" s="25"/>
      <c r="H64" s="25"/>
      <c r="I64" s="25"/>
      <c r="J64" s="25"/>
      <c r="K64" s="84">
        <f t="shared" si="0"/>
        <v>339.29999999999995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</row>
    <row r="65" spans="1:59" ht="25.5">
      <c r="A65" s="66" t="s">
        <v>249</v>
      </c>
      <c r="B65" s="20" t="s">
        <v>250</v>
      </c>
      <c r="C65" s="30">
        <f t="shared" si="4"/>
        <v>60</v>
      </c>
      <c r="D65" s="30"/>
      <c r="E65" s="30"/>
      <c r="F65" s="30">
        <f>40+20</f>
        <v>60</v>
      </c>
      <c r="G65" s="25"/>
      <c r="H65" s="25"/>
      <c r="I65" s="25"/>
      <c r="J65" s="25"/>
      <c r="K65" s="84">
        <f t="shared" si="0"/>
        <v>60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</row>
    <row r="66" spans="1:59" ht="12.75">
      <c r="A66" s="66" t="s">
        <v>251</v>
      </c>
      <c r="B66" s="20" t="s">
        <v>252</v>
      </c>
      <c r="C66" s="30">
        <f t="shared" si="4"/>
        <v>26.700000000000003</v>
      </c>
      <c r="D66" s="30">
        <f>16.6+0.9</f>
        <v>17.5</v>
      </c>
      <c r="E66" s="30"/>
      <c r="F66" s="30">
        <f>8.9+0.3</f>
        <v>9.200000000000001</v>
      </c>
      <c r="G66" s="25"/>
      <c r="H66" s="25"/>
      <c r="I66" s="25"/>
      <c r="J66" s="25"/>
      <c r="K66" s="84">
        <f t="shared" si="0"/>
        <v>26.700000000000003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</row>
    <row r="67" spans="1:59" ht="25.5">
      <c r="A67" s="66" t="s">
        <v>234</v>
      </c>
      <c r="B67" s="40" t="s">
        <v>235</v>
      </c>
      <c r="C67" s="30">
        <f t="shared" si="4"/>
        <v>0</v>
      </c>
      <c r="D67" s="25"/>
      <c r="E67" s="25"/>
      <c r="F67" s="25">
        <f>40-40</f>
        <v>0</v>
      </c>
      <c r="G67" s="25"/>
      <c r="H67" s="25"/>
      <c r="I67" s="25"/>
      <c r="J67" s="25"/>
      <c r="K67" s="84">
        <f t="shared" si="0"/>
        <v>0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</row>
    <row r="68" spans="1:59" ht="12.75">
      <c r="A68" s="66" t="s">
        <v>200</v>
      </c>
      <c r="B68" s="40" t="s">
        <v>98</v>
      </c>
      <c r="C68" s="30">
        <f t="shared" si="4"/>
        <v>0</v>
      </c>
      <c r="D68" s="25"/>
      <c r="E68" s="25"/>
      <c r="F68" s="25"/>
      <c r="G68" s="25"/>
      <c r="H68" s="25">
        <v>300</v>
      </c>
      <c r="I68" s="25">
        <f>H68</f>
        <v>300</v>
      </c>
      <c r="J68" s="25"/>
      <c r="K68" s="84">
        <f t="shared" si="0"/>
        <v>300</v>
      </c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</row>
    <row r="69" spans="1:59" s="21" customFormat="1" ht="29.25" customHeight="1">
      <c r="A69" s="67"/>
      <c r="B69" s="53" t="s">
        <v>129</v>
      </c>
      <c r="C69" s="45">
        <f>D69+E69+F69+G69</f>
        <v>41749.8</v>
      </c>
      <c r="D69" s="27"/>
      <c r="E69" s="27"/>
      <c r="F69" s="27">
        <f>10000+14200+5100+1194-1600-1194+1000+1194-1194+1500+F72+4000</f>
        <v>34200</v>
      </c>
      <c r="G69" s="27">
        <f>8537.5-765.3+358.1+21-374.1-227.4</f>
        <v>7549.8</v>
      </c>
      <c r="H69" s="27">
        <f>I69</f>
        <v>2277</v>
      </c>
      <c r="I69" s="27">
        <f>I72</f>
        <v>2277</v>
      </c>
      <c r="J69" s="27"/>
      <c r="K69" s="85">
        <f t="shared" si="0"/>
        <v>44026.8</v>
      </c>
      <c r="L69" s="39"/>
      <c r="M69" s="145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1:59" s="21" customFormat="1" ht="40.5" customHeight="1">
      <c r="A70" s="66" t="s">
        <v>37</v>
      </c>
      <c r="B70" s="20" t="s">
        <v>36</v>
      </c>
      <c r="C70" s="30">
        <f>F70</f>
        <v>3500</v>
      </c>
      <c r="D70" s="25"/>
      <c r="E70" s="25"/>
      <c r="F70" s="25">
        <f>5100-1600</f>
        <v>3500</v>
      </c>
      <c r="G70" s="27"/>
      <c r="H70" s="27"/>
      <c r="I70" s="27"/>
      <c r="J70" s="27"/>
      <c r="K70" s="84">
        <f t="shared" si="0"/>
        <v>3500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59" s="21" customFormat="1" ht="25.5">
      <c r="A71" s="66" t="s">
        <v>310</v>
      </c>
      <c r="B71" s="20" t="s">
        <v>312</v>
      </c>
      <c r="C71" s="30">
        <f>F71</f>
        <v>1000</v>
      </c>
      <c r="D71" s="25"/>
      <c r="E71" s="25"/>
      <c r="F71" s="25">
        <v>1000</v>
      </c>
      <c r="G71" s="27"/>
      <c r="H71" s="25"/>
      <c r="I71" s="25"/>
      <c r="J71" s="27"/>
      <c r="K71" s="84">
        <f t="shared" si="0"/>
        <v>1000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59" s="21" customFormat="1" ht="12.75">
      <c r="A72" s="66" t="s">
        <v>17</v>
      </c>
      <c r="B72" s="20" t="s">
        <v>18</v>
      </c>
      <c r="C72" s="30">
        <f>F72</f>
        <v>0</v>
      </c>
      <c r="D72" s="25"/>
      <c r="E72" s="25"/>
      <c r="F72" s="25"/>
      <c r="G72" s="27"/>
      <c r="H72" s="25">
        <f>I72</f>
        <v>2277</v>
      </c>
      <c r="I72" s="25">
        <v>2277</v>
      </c>
      <c r="J72" s="27"/>
      <c r="K72" s="84">
        <f t="shared" si="0"/>
        <v>2277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:12" ht="24.75" customHeight="1">
      <c r="A73" s="66"/>
      <c r="B73" s="53" t="s">
        <v>24</v>
      </c>
      <c r="C73" s="45">
        <f>C76+C77+C79+C80+C81+C74+C75</f>
        <v>49403.399999999994</v>
      </c>
      <c r="D73" s="45">
        <f aca="true" t="shared" si="6" ref="D73:I73">D76+D77+D79+D80+D81+D74+D75</f>
        <v>7089.8</v>
      </c>
      <c r="E73" s="45">
        <f t="shared" si="6"/>
        <v>1035.1</v>
      </c>
      <c r="F73" s="45">
        <f>F76+F77+F79+F80+F81+F74+F75</f>
        <v>37770.5</v>
      </c>
      <c r="G73" s="45">
        <f t="shared" si="6"/>
        <v>3508</v>
      </c>
      <c r="H73" s="45">
        <f t="shared" si="6"/>
        <v>731.6</v>
      </c>
      <c r="I73" s="45">
        <f t="shared" si="6"/>
        <v>0</v>
      </c>
      <c r="J73" s="27"/>
      <c r="K73" s="85">
        <f t="shared" si="0"/>
        <v>50134.99999999999</v>
      </c>
      <c r="L73" s="41"/>
    </row>
    <row r="74" spans="1:59" ht="12.75">
      <c r="A74" s="66" t="s">
        <v>229</v>
      </c>
      <c r="B74" s="20" t="s">
        <v>231</v>
      </c>
      <c r="C74" s="30">
        <f>D74+E74+F74+G74</f>
        <v>25803.7</v>
      </c>
      <c r="D74" s="30"/>
      <c r="E74" s="30"/>
      <c r="F74" s="30">
        <f>14416.9+3724+468.3+31.1+430+1000+180+353.4+1700</f>
        <v>22303.7</v>
      </c>
      <c r="G74" s="30">
        <f>2000+500+1000</f>
        <v>3500</v>
      </c>
      <c r="H74" s="30"/>
      <c r="I74" s="30"/>
      <c r="J74" s="25"/>
      <c r="K74" s="84">
        <f t="shared" si="0"/>
        <v>25803.7</v>
      </c>
      <c r="L74" s="65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</row>
    <row r="75" spans="1:59" ht="24.75" customHeight="1">
      <c r="A75" s="66" t="s">
        <v>230</v>
      </c>
      <c r="B75" s="20" t="s">
        <v>232</v>
      </c>
      <c r="C75" s="30">
        <f>D75+E75+F75+G75</f>
        <v>7576.299999999999</v>
      </c>
      <c r="D75" s="30"/>
      <c r="E75" s="30"/>
      <c r="F75" s="30">
        <f>6736+98+65.3-81.1+500+72.7+50-100+199.4+28</f>
        <v>7568.299999999999</v>
      </c>
      <c r="G75" s="30">
        <f>56-3-45</f>
        <v>8</v>
      </c>
      <c r="H75" s="30"/>
      <c r="I75" s="30"/>
      <c r="J75" s="25"/>
      <c r="K75" s="84">
        <f t="shared" si="0"/>
        <v>7576.299999999999</v>
      </c>
      <c r="L75" s="65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59" ht="38.25">
      <c r="A76" s="66" t="s">
        <v>130</v>
      </c>
      <c r="B76" s="40" t="s">
        <v>215</v>
      </c>
      <c r="C76" s="30">
        <f aca="true" t="shared" si="7" ref="C76:C81">D76+E76+F76</f>
        <v>6058</v>
      </c>
      <c r="D76" s="25">
        <f>1606.4+39.8+15.1</f>
        <v>1661.3</v>
      </c>
      <c r="E76" s="25">
        <v>406.4</v>
      </c>
      <c r="F76" s="25">
        <f>3196.7+500+124.3+14.8+11.4+100+5.7+37.4</f>
        <v>3990.3</v>
      </c>
      <c r="G76" s="25"/>
      <c r="H76" s="25">
        <v>465</v>
      </c>
      <c r="I76" s="25"/>
      <c r="J76" s="25"/>
      <c r="K76" s="84">
        <f t="shared" si="0"/>
        <v>6523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67.5" customHeight="1">
      <c r="A77" s="69" t="s">
        <v>73</v>
      </c>
      <c r="B77" s="75" t="s">
        <v>209</v>
      </c>
      <c r="C77" s="30">
        <f t="shared" si="7"/>
        <v>9340.599999999999</v>
      </c>
      <c r="D77" s="25">
        <f>5149.5+356.6-77.6</f>
        <v>5428.5</v>
      </c>
      <c r="E77" s="25">
        <v>628.7</v>
      </c>
      <c r="F77" s="25">
        <f>2785.9+411.2+8.7+77.6</f>
        <v>3283.3999999999996</v>
      </c>
      <c r="G77" s="25"/>
      <c r="H77" s="25">
        <v>266.6</v>
      </c>
      <c r="I77" s="25"/>
      <c r="J77" s="25"/>
      <c r="K77" s="84">
        <f t="shared" si="0"/>
        <v>9607.199999999999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12.75">
      <c r="A78" s="69"/>
      <c r="B78" s="75" t="s">
        <v>210</v>
      </c>
      <c r="C78" s="30">
        <f t="shared" si="7"/>
        <v>20.9</v>
      </c>
      <c r="D78" s="25"/>
      <c r="E78" s="25"/>
      <c r="F78" s="25">
        <f>12.2+8.7</f>
        <v>20.9</v>
      </c>
      <c r="G78" s="25"/>
      <c r="H78" s="25"/>
      <c r="I78" s="25"/>
      <c r="J78" s="25"/>
      <c r="K78" s="84">
        <f t="shared" si="0"/>
        <v>20.9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25.5">
      <c r="A79" s="66">
        <v>110300</v>
      </c>
      <c r="B79" s="40" t="s">
        <v>131</v>
      </c>
      <c r="C79" s="30">
        <f t="shared" si="7"/>
        <v>304.3</v>
      </c>
      <c r="D79" s="25"/>
      <c r="E79" s="25"/>
      <c r="F79" s="25">
        <f>200+49+5.3+50</f>
        <v>304.3</v>
      </c>
      <c r="G79" s="25"/>
      <c r="H79" s="25"/>
      <c r="I79" s="25"/>
      <c r="J79" s="25"/>
      <c r="K79" s="84">
        <f t="shared" si="0"/>
        <v>304.3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25.5">
      <c r="A80" s="66">
        <v>120300</v>
      </c>
      <c r="B80" s="40" t="s">
        <v>132</v>
      </c>
      <c r="C80" s="30">
        <f t="shared" si="7"/>
        <v>65.9</v>
      </c>
      <c r="D80" s="25"/>
      <c r="E80" s="25"/>
      <c r="F80" s="25">
        <v>65.9</v>
      </c>
      <c r="G80" s="25"/>
      <c r="H80" s="25"/>
      <c r="I80" s="25"/>
      <c r="J80" s="25"/>
      <c r="K80" s="84">
        <f t="shared" si="0"/>
        <v>65.9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27" customHeight="1">
      <c r="A81" s="66">
        <v>120300</v>
      </c>
      <c r="B81" s="40" t="s">
        <v>133</v>
      </c>
      <c r="C81" s="30">
        <f t="shared" si="7"/>
        <v>254.6</v>
      </c>
      <c r="D81" s="25"/>
      <c r="E81" s="25"/>
      <c r="F81" s="25">
        <v>254.6</v>
      </c>
      <c r="G81" s="25"/>
      <c r="H81" s="25"/>
      <c r="I81" s="25"/>
      <c r="J81" s="25"/>
      <c r="K81" s="84">
        <f>C81+H81</f>
        <v>254.6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s="21" customFormat="1" ht="12.75">
      <c r="A82" s="67"/>
      <c r="B82" s="53" t="s">
        <v>134</v>
      </c>
      <c r="C82" s="45">
        <f>C83+C84+C86+C85</f>
        <v>5482.8</v>
      </c>
      <c r="D82" s="45">
        <f>D83+D84+D86++D85</f>
        <v>0</v>
      </c>
      <c r="E82" s="45">
        <f>E83+E84+E86++E85</f>
        <v>0</v>
      </c>
      <c r="F82" s="45">
        <f>F83+F84+F86++F85</f>
        <v>4377.8</v>
      </c>
      <c r="G82" s="27">
        <f>G84</f>
        <v>1105</v>
      </c>
      <c r="H82" s="27"/>
      <c r="I82" s="27"/>
      <c r="J82" s="27"/>
      <c r="K82" s="85">
        <f t="shared" si="0"/>
        <v>5482.8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25.5">
      <c r="A83" s="69">
        <v>180109</v>
      </c>
      <c r="B83" s="20" t="s">
        <v>101</v>
      </c>
      <c r="C83" s="30">
        <f>D83+E83+F83</f>
        <v>400</v>
      </c>
      <c r="D83" s="76"/>
      <c r="E83" s="76"/>
      <c r="F83" s="77">
        <v>400</v>
      </c>
      <c r="G83" s="25"/>
      <c r="H83" s="25"/>
      <c r="I83" s="25"/>
      <c r="J83" s="25"/>
      <c r="K83" s="84">
        <f t="shared" si="0"/>
        <v>400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27" customHeight="1">
      <c r="A84" s="66" t="s">
        <v>198</v>
      </c>
      <c r="B84" s="75" t="s">
        <v>94</v>
      </c>
      <c r="C84" s="30">
        <f>D84+E84+F84+G84</f>
        <v>4282</v>
      </c>
      <c r="D84" s="25"/>
      <c r="E84" s="25"/>
      <c r="F84" s="25">
        <f>4200-623-400</f>
        <v>3177</v>
      </c>
      <c r="G84" s="147">
        <f>1201-49-42-5</f>
        <v>1105</v>
      </c>
      <c r="H84" s="25"/>
      <c r="I84" s="25"/>
      <c r="J84" s="25"/>
      <c r="K84" s="84">
        <f t="shared" si="0"/>
        <v>4282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13.5" customHeight="1">
      <c r="A85" s="69">
        <v>120300</v>
      </c>
      <c r="B85" s="20" t="s">
        <v>95</v>
      </c>
      <c r="C85" s="30">
        <f>D85+E85+F85</f>
        <v>623</v>
      </c>
      <c r="D85" s="25"/>
      <c r="E85" s="25"/>
      <c r="F85" s="25">
        <v>623</v>
      </c>
      <c r="G85" s="25"/>
      <c r="H85" s="25"/>
      <c r="I85" s="25"/>
      <c r="J85" s="25"/>
      <c r="K85" s="84">
        <f t="shared" si="0"/>
        <v>623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25.5">
      <c r="A86" s="66">
        <v>120300</v>
      </c>
      <c r="B86" s="40" t="s">
        <v>135</v>
      </c>
      <c r="C86" s="30">
        <f>D86+E86+F86</f>
        <v>177.8</v>
      </c>
      <c r="D86" s="25"/>
      <c r="E86" s="25"/>
      <c r="F86" s="25">
        <v>177.8</v>
      </c>
      <c r="G86" s="25"/>
      <c r="H86" s="25"/>
      <c r="I86" s="25"/>
      <c r="J86" s="25"/>
      <c r="K86" s="84">
        <f t="shared" si="0"/>
        <v>177.8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s="21" customFormat="1" ht="25.5">
      <c r="A87" s="62"/>
      <c r="B87" s="53" t="s">
        <v>136</v>
      </c>
      <c r="C87" s="45">
        <f aca="true" t="shared" si="8" ref="C87:H87">C88+C89+C90</f>
        <v>21198.7</v>
      </c>
      <c r="D87" s="45">
        <f t="shared" si="8"/>
        <v>2481.4</v>
      </c>
      <c r="E87" s="45">
        <f t="shared" si="8"/>
        <v>171.1</v>
      </c>
      <c r="F87" s="45">
        <f>F88+F89+F90</f>
        <v>18530.199999999997</v>
      </c>
      <c r="G87" s="45">
        <f t="shared" si="8"/>
        <v>16</v>
      </c>
      <c r="H87" s="45">
        <f t="shared" si="8"/>
        <v>3</v>
      </c>
      <c r="I87" s="27"/>
      <c r="J87" s="27"/>
      <c r="K87" s="85">
        <f>C87+H87</f>
        <v>21201.7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ht="51">
      <c r="A88" s="66">
        <v>130000</v>
      </c>
      <c r="B88" s="40" t="s">
        <v>280</v>
      </c>
      <c r="C88" s="30">
        <f>D88+E88+F88+G88</f>
        <v>17099.8</v>
      </c>
      <c r="D88" s="25">
        <f>1414.6-47-4.4</f>
        <v>1363.1999999999998</v>
      </c>
      <c r="E88" s="25">
        <f>20.7-0.8</f>
        <v>19.9</v>
      </c>
      <c r="F88" s="25">
        <f>14155.5+1000+233.8-50+47+4.4+310</f>
        <v>15700.699999999999</v>
      </c>
      <c r="G88" s="25">
        <f>39-5-18</f>
        <v>16</v>
      </c>
      <c r="H88" s="25"/>
      <c r="I88" s="25"/>
      <c r="J88" s="25"/>
      <c r="K88" s="84">
        <f>C88+H88</f>
        <v>17099.8</v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25.5">
      <c r="A89" s="66" t="s">
        <v>190</v>
      </c>
      <c r="B89" s="75" t="s">
        <v>214</v>
      </c>
      <c r="C89" s="30">
        <f>D89+E89+F89</f>
        <v>3716.9</v>
      </c>
      <c r="D89" s="25">
        <f>884.1+54.8</f>
        <v>938.9</v>
      </c>
      <c r="E89" s="25">
        <f>129+4.6</f>
        <v>133.6</v>
      </c>
      <c r="F89" s="25">
        <f>2537.1+61.9+50-4.6</f>
        <v>2644.4</v>
      </c>
      <c r="G89" s="25"/>
      <c r="H89" s="25"/>
      <c r="I89" s="25"/>
      <c r="J89" s="25"/>
      <c r="K89" s="84">
        <f t="shared" si="0"/>
        <v>3716.9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28.5" customHeight="1">
      <c r="A90" s="66" t="s">
        <v>199</v>
      </c>
      <c r="B90" s="90" t="s">
        <v>307</v>
      </c>
      <c r="C90" s="30">
        <f>D90+E90+F90</f>
        <v>382</v>
      </c>
      <c r="D90" s="25">
        <f>169+10.3</f>
        <v>179.3</v>
      </c>
      <c r="E90" s="25">
        <f>16.8+0.8</f>
        <v>17.6</v>
      </c>
      <c r="F90" s="25">
        <f>181.3+3.8</f>
        <v>185.10000000000002</v>
      </c>
      <c r="G90" s="25"/>
      <c r="H90" s="25">
        <v>3</v>
      </c>
      <c r="I90" s="25"/>
      <c r="J90" s="25"/>
      <c r="K90" s="84">
        <f t="shared" si="0"/>
        <v>385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25.5">
      <c r="A91" s="66"/>
      <c r="B91" s="91" t="s">
        <v>8</v>
      </c>
      <c r="C91" s="45">
        <f>C92+C93+C94+C95+C96+C97</f>
        <v>1194</v>
      </c>
      <c r="D91" s="25"/>
      <c r="E91" s="25"/>
      <c r="F91" s="27">
        <f>F92+F97</f>
        <v>1194</v>
      </c>
      <c r="G91" s="25"/>
      <c r="H91" s="27">
        <f>H92+H93+H94+H95+H96+H97</f>
        <v>40753.4</v>
      </c>
      <c r="I91" s="27">
        <f>I92+I93+I94+I95+I96+I97</f>
        <v>40753.4</v>
      </c>
      <c r="J91" s="27">
        <f>J92+J93</f>
        <v>556.6</v>
      </c>
      <c r="K91" s="85">
        <f>C91+H91</f>
        <v>41947.4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12.75">
      <c r="A92" s="66" t="s">
        <v>200</v>
      </c>
      <c r="B92" s="20" t="s">
        <v>98</v>
      </c>
      <c r="C92" s="30">
        <f>D92+E92+F92</f>
        <v>1194</v>
      </c>
      <c r="D92" s="25"/>
      <c r="E92" s="25"/>
      <c r="F92" s="25">
        <f>610+584-1194+1194</f>
        <v>1194</v>
      </c>
      <c r="G92" s="25"/>
      <c r="H92" s="25">
        <f aca="true" t="shared" si="9" ref="H92:H97">I92</f>
        <v>21345.3</v>
      </c>
      <c r="I92" s="25">
        <f>J92+10096.5-406.5+600+1500+4654+300+500+900+200+2444.7</f>
        <v>21345.3</v>
      </c>
      <c r="J92" s="25">
        <f>406.5+290-139.9</f>
        <v>556.6</v>
      </c>
      <c r="K92" s="84">
        <f>H92</f>
        <v>21345.3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192" customHeight="1">
      <c r="A93" s="66" t="s">
        <v>277</v>
      </c>
      <c r="B93" s="90" t="s">
        <v>283</v>
      </c>
      <c r="C93" s="30">
        <f>D93+E93+F93</f>
        <v>0</v>
      </c>
      <c r="D93" s="25"/>
      <c r="E93" s="25"/>
      <c r="F93" s="25"/>
      <c r="G93" s="25"/>
      <c r="H93" s="25">
        <f t="shared" si="9"/>
        <v>6692.7</v>
      </c>
      <c r="I93" s="25">
        <v>6692.7</v>
      </c>
      <c r="J93" s="25"/>
      <c r="K93" s="84">
        <f>H93+C93</f>
        <v>6692.7</v>
      </c>
      <c r="L93" s="31"/>
      <c r="M93" s="31"/>
      <c r="N93" s="87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25.5">
      <c r="A94" s="66" t="s">
        <v>262</v>
      </c>
      <c r="B94" s="90" t="s">
        <v>261</v>
      </c>
      <c r="C94" s="30">
        <v>0</v>
      </c>
      <c r="D94" s="25"/>
      <c r="E94" s="25"/>
      <c r="F94" s="25"/>
      <c r="G94" s="25"/>
      <c r="H94" s="25">
        <f t="shared" si="9"/>
        <v>840</v>
      </c>
      <c r="I94" s="25">
        <f>2840-2000</f>
        <v>840</v>
      </c>
      <c r="J94" s="25"/>
      <c r="K94" s="84">
        <f>H94+C94</f>
        <v>840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12.75">
      <c r="A95" s="66" t="s">
        <v>263</v>
      </c>
      <c r="B95" s="90" t="s">
        <v>264</v>
      </c>
      <c r="C95" s="30">
        <v>0</v>
      </c>
      <c r="D95" s="25"/>
      <c r="E95" s="25"/>
      <c r="F95" s="25"/>
      <c r="G95" s="25"/>
      <c r="H95" s="25">
        <f t="shared" si="9"/>
        <v>11000</v>
      </c>
      <c r="I95" s="25">
        <v>11000</v>
      </c>
      <c r="J95" s="25"/>
      <c r="K95" s="84">
        <f>H95+C95</f>
        <v>11000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17.25" customHeight="1">
      <c r="A96" s="69" t="s">
        <v>17</v>
      </c>
      <c r="B96" s="20" t="s">
        <v>18</v>
      </c>
      <c r="C96" s="30">
        <v>0</v>
      </c>
      <c r="D96" s="25"/>
      <c r="E96" s="25"/>
      <c r="F96" s="25"/>
      <c r="G96" s="25"/>
      <c r="H96" s="25">
        <f t="shared" si="9"/>
        <v>804.1</v>
      </c>
      <c r="I96" s="25">
        <f>750+54.1</f>
        <v>804.1</v>
      </c>
      <c r="J96" s="25"/>
      <c r="K96" s="84">
        <f>H96+C96</f>
        <v>804.1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25.5">
      <c r="A97" s="69" t="s">
        <v>319</v>
      </c>
      <c r="B97" s="20" t="s">
        <v>320</v>
      </c>
      <c r="C97" s="30">
        <f>D97+E97+F97</f>
        <v>0</v>
      </c>
      <c r="D97" s="25"/>
      <c r="E97" s="25"/>
      <c r="F97" s="25"/>
      <c r="G97" s="25"/>
      <c r="H97" s="25">
        <f t="shared" si="9"/>
        <v>71.3</v>
      </c>
      <c r="I97" s="25">
        <v>71.3</v>
      </c>
      <c r="J97" s="25"/>
      <c r="K97" s="84">
        <f>H97+C97</f>
        <v>71.3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25.5">
      <c r="A98" s="66"/>
      <c r="B98" s="91" t="s">
        <v>9</v>
      </c>
      <c r="C98" s="30"/>
      <c r="D98" s="25"/>
      <c r="E98" s="25"/>
      <c r="F98" s="25"/>
      <c r="G98" s="25"/>
      <c r="H98" s="27">
        <f>H99</f>
        <v>0</v>
      </c>
      <c r="I98" s="27">
        <f>I99</f>
        <v>0</v>
      </c>
      <c r="J98" s="27"/>
      <c r="K98" s="85">
        <f>K99</f>
        <v>0</v>
      </c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1:59" ht="12.75">
      <c r="A99" s="66" t="s">
        <v>200</v>
      </c>
      <c r="B99" s="20" t="s">
        <v>98</v>
      </c>
      <c r="C99" s="30">
        <f>D99+E99+F99</f>
        <v>0</v>
      </c>
      <c r="D99" s="25"/>
      <c r="E99" s="25"/>
      <c r="F99" s="25"/>
      <c r="G99" s="25"/>
      <c r="H99" s="25">
        <f>100-100</f>
        <v>0</v>
      </c>
      <c r="I99" s="25">
        <f>H99</f>
        <v>0</v>
      </c>
      <c r="J99" s="25"/>
      <c r="K99" s="84">
        <f>C99+H99</f>
        <v>0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s="21" customFormat="1" ht="38.25">
      <c r="A100" s="67"/>
      <c r="B100" s="54" t="s">
        <v>188</v>
      </c>
      <c r="C100" s="45">
        <f>C101</f>
        <v>5951.099999999999</v>
      </c>
      <c r="D100" s="45">
        <f>D101</f>
        <v>0</v>
      </c>
      <c r="E100" s="45">
        <f>E101</f>
        <v>0</v>
      </c>
      <c r="F100" s="45">
        <f>F101</f>
        <v>5065</v>
      </c>
      <c r="G100" s="27">
        <f>G101</f>
        <v>886.0999999999998</v>
      </c>
      <c r="H100" s="27"/>
      <c r="I100" s="27"/>
      <c r="J100" s="27"/>
      <c r="K100" s="85">
        <f t="shared" si="0"/>
        <v>5951.099999999999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1:59" ht="25.5">
      <c r="A101" s="66">
        <v>210000</v>
      </c>
      <c r="B101" s="22" t="s">
        <v>193</v>
      </c>
      <c r="C101" s="30">
        <f>D101+E101+F101+G101</f>
        <v>5951.099999999999</v>
      </c>
      <c r="D101" s="25"/>
      <c r="E101" s="25"/>
      <c r="F101" s="25">
        <f>1800+198.6+150+820+117+300+400.3+420+586.8+272.3</f>
        <v>5065</v>
      </c>
      <c r="G101" s="25">
        <f>1110.3+8.1-35.7-24.7-171.9</f>
        <v>886.0999999999998</v>
      </c>
      <c r="H101" s="25"/>
      <c r="I101" s="25"/>
      <c r="J101" s="25"/>
      <c r="K101" s="84">
        <f t="shared" si="0"/>
        <v>5951.099999999999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59" s="21" customFormat="1" ht="12.75">
      <c r="A102" s="67"/>
      <c r="B102" s="54" t="s">
        <v>137</v>
      </c>
      <c r="C102" s="45">
        <f>C103</f>
        <v>200</v>
      </c>
      <c r="D102" s="45">
        <f>D103</f>
        <v>0</v>
      </c>
      <c r="E102" s="45">
        <f>E103</f>
        <v>0</v>
      </c>
      <c r="F102" s="45">
        <v>200</v>
      </c>
      <c r="G102" s="27"/>
      <c r="H102" s="27"/>
      <c r="I102" s="27"/>
      <c r="J102" s="27"/>
      <c r="K102" s="85">
        <f t="shared" si="0"/>
        <v>200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s="21" customFormat="1" ht="25.5">
      <c r="A103" s="69">
        <v>180404</v>
      </c>
      <c r="B103" s="24" t="s">
        <v>102</v>
      </c>
      <c r="C103" s="30">
        <f>D103+E103+F103</f>
        <v>200</v>
      </c>
      <c r="D103" s="25"/>
      <c r="E103" s="25"/>
      <c r="F103" s="25">
        <v>200</v>
      </c>
      <c r="G103" s="25"/>
      <c r="H103" s="25"/>
      <c r="I103" s="25"/>
      <c r="J103" s="25"/>
      <c r="K103" s="84">
        <f t="shared" si="0"/>
        <v>200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s="21" customFormat="1" ht="25.5">
      <c r="A104" s="69"/>
      <c r="B104" s="51" t="s">
        <v>189</v>
      </c>
      <c r="C104" s="45">
        <f>C105</f>
        <v>390</v>
      </c>
      <c r="D104" s="45">
        <f>D105</f>
        <v>0</v>
      </c>
      <c r="E104" s="45">
        <f>E105</f>
        <v>0</v>
      </c>
      <c r="F104" s="45">
        <f>F105</f>
        <v>390</v>
      </c>
      <c r="G104" s="25"/>
      <c r="H104" s="25"/>
      <c r="I104" s="25"/>
      <c r="J104" s="25"/>
      <c r="K104" s="85">
        <f t="shared" si="0"/>
        <v>390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s="21" customFormat="1" ht="25.5">
      <c r="A105" s="66">
        <v>180109</v>
      </c>
      <c r="B105" s="24" t="s">
        <v>101</v>
      </c>
      <c r="C105" s="30">
        <f>D105+E105+F105</f>
        <v>390</v>
      </c>
      <c r="D105" s="25"/>
      <c r="E105" s="25"/>
      <c r="F105" s="25">
        <v>390</v>
      </c>
      <c r="G105" s="25"/>
      <c r="H105" s="25"/>
      <c r="I105" s="25"/>
      <c r="J105" s="25"/>
      <c r="K105" s="84">
        <f t="shared" si="0"/>
        <v>390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</row>
    <row r="106" spans="1:59" s="21" customFormat="1" ht="12.75">
      <c r="A106" s="66"/>
      <c r="B106" s="51" t="s">
        <v>295</v>
      </c>
      <c r="C106" s="45">
        <f>C107</f>
        <v>101.5</v>
      </c>
      <c r="D106" s="27"/>
      <c r="E106" s="27"/>
      <c r="F106" s="27">
        <f>F107</f>
        <v>101.5</v>
      </c>
      <c r="G106" s="27"/>
      <c r="H106" s="27"/>
      <c r="I106" s="27"/>
      <c r="J106" s="27"/>
      <c r="K106" s="85">
        <f t="shared" si="0"/>
        <v>101.5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</row>
    <row r="107" spans="1:59" s="21" customFormat="1" ht="12.75">
      <c r="A107" s="69">
        <v>250404</v>
      </c>
      <c r="B107" s="20" t="s">
        <v>108</v>
      </c>
      <c r="C107" s="30">
        <f>F107</f>
        <v>101.5</v>
      </c>
      <c r="D107" s="25"/>
      <c r="E107" s="25"/>
      <c r="F107" s="25">
        <v>101.5</v>
      </c>
      <c r="G107" s="25"/>
      <c r="H107" s="25"/>
      <c r="I107" s="25"/>
      <c r="J107" s="25"/>
      <c r="K107" s="84">
        <f t="shared" si="0"/>
        <v>101.5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</row>
    <row r="108" spans="1:59" s="21" customFormat="1" ht="12.75">
      <c r="A108" s="67"/>
      <c r="B108" s="53" t="s">
        <v>138</v>
      </c>
      <c r="C108" s="45">
        <f>C109+C110+C111+C112+C113+C115+C116+C117+C118+C119+C120+C121+C122+C125+C126+C128+C129+C131+C130+C133+C124+C132+C134+C114+C135+C136+C123+C137</f>
        <v>837946.2</v>
      </c>
      <c r="D108" s="45">
        <f>D109+D110+D111+D112+D113+D115+D116+D117+D118+D119+D120+D121+D122+D125+D126+D128+D129+D131+D130+D133+D124+D132+D134+D114+D135+D136+D123+D137</f>
        <v>0</v>
      </c>
      <c r="E108" s="45">
        <f>E109+E110+E111+E112+E113+E115+E116+E117+E118+E119+E120+E121+E122+E125+E126+E128+E129+E131+E130+E133+E124+E132+E134+E114+E135+E136+E123+E137</f>
        <v>0</v>
      </c>
      <c r="F108" s="45">
        <f>F109+F110+F111+F112+F113+F115+F116+F117+F118+F119+F120+F121+F122+F125+F126+F128+F129+F131+F130+F133+F124+F132+F134+F114+F135+F136+F123+F137</f>
        <v>837946.2</v>
      </c>
      <c r="G108" s="45">
        <f>G109+G110+G111+G112+G113+G115+G116+G117+G118+G119+G120+G121+G122+G125+G126+G128+G129+G131+G130</f>
        <v>0</v>
      </c>
      <c r="H108" s="45">
        <f>H109+H110+H111+H112+H113+H115+H116+H117+H118+H119+H120+H121+H122+H125+H126+H128+H129+H131+H130</f>
        <v>80513.2</v>
      </c>
      <c r="I108" s="45">
        <f>I109+I110+I111+I112+I113+I115+I116+I117+I118+I119+I120+I121+I122+I125+I126+I128+I129+I131+I130</f>
        <v>1010</v>
      </c>
      <c r="J108" s="45"/>
      <c r="K108" s="85">
        <f>C108+H108</f>
        <v>918459.3999999999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</row>
    <row r="109" spans="1:59" ht="12.75">
      <c r="A109" s="66" t="s">
        <v>200</v>
      </c>
      <c r="B109" s="20" t="s">
        <v>98</v>
      </c>
      <c r="C109" s="30">
        <f aca="true" t="shared" si="10" ref="C109:C137">D109+E109+F109</f>
        <v>0</v>
      </c>
      <c r="D109" s="25"/>
      <c r="E109" s="25"/>
      <c r="F109" s="25"/>
      <c r="G109" s="25"/>
      <c r="H109" s="25">
        <f>12000+900+1000-2000-500-9120-670-600</f>
        <v>1010</v>
      </c>
      <c r="I109" s="25">
        <f>H109</f>
        <v>1010</v>
      </c>
      <c r="J109" s="25"/>
      <c r="K109" s="84">
        <f t="shared" si="0"/>
        <v>1010</v>
      </c>
      <c r="L109" s="87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14.25" customHeight="1" hidden="1">
      <c r="A110" s="66" t="s">
        <v>277</v>
      </c>
      <c r="B110" s="90" t="s">
        <v>283</v>
      </c>
      <c r="C110" s="30">
        <f t="shared" si="10"/>
        <v>0</v>
      </c>
      <c r="D110" s="25"/>
      <c r="E110" s="25"/>
      <c r="F110" s="25"/>
      <c r="G110" s="25"/>
      <c r="H110" s="25">
        <f>I110</f>
        <v>0</v>
      </c>
      <c r="I110" s="25"/>
      <c r="J110" s="25"/>
      <c r="K110" s="84">
        <f t="shared" si="0"/>
        <v>0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12" customHeight="1" hidden="1">
      <c r="A111" s="66" t="s">
        <v>262</v>
      </c>
      <c r="B111" s="90" t="s">
        <v>261</v>
      </c>
      <c r="C111" s="30">
        <f t="shared" si="10"/>
        <v>0</v>
      </c>
      <c r="D111" s="25"/>
      <c r="E111" s="25"/>
      <c r="F111" s="25"/>
      <c r="G111" s="25"/>
      <c r="H111" s="25">
        <f>I111</f>
        <v>0</v>
      </c>
      <c r="I111" s="25"/>
      <c r="J111" s="25"/>
      <c r="K111" s="84">
        <f t="shared" si="0"/>
        <v>0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12" customHeight="1" hidden="1">
      <c r="A112" s="66" t="s">
        <v>263</v>
      </c>
      <c r="B112" s="20" t="s">
        <v>264</v>
      </c>
      <c r="C112" s="30">
        <f t="shared" si="10"/>
        <v>0</v>
      </c>
      <c r="D112" s="25"/>
      <c r="E112" s="25"/>
      <c r="F112" s="25"/>
      <c r="G112" s="25"/>
      <c r="H112" s="25">
        <f>I112</f>
        <v>0</v>
      </c>
      <c r="I112" s="25"/>
      <c r="J112" s="25"/>
      <c r="K112" s="84">
        <f t="shared" si="0"/>
        <v>0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52.5" customHeight="1">
      <c r="A113" s="66">
        <v>170703</v>
      </c>
      <c r="B113" s="20" t="s">
        <v>100</v>
      </c>
      <c r="C113" s="30">
        <f t="shared" si="10"/>
        <v>0</v>
      </c>
      <c r="D113" s="25"/>
      <c r="E113" s="25"/>
      <c r="F113" s="25"/>
      <c r="G113" s="25"/>
      <c r="H113" s="25">
        <v>29400</v>
      </c>
      <c r="I113" s="25"/>
      <c r="J113" s="25"/>
      <c r="K113" s="84">
        <f t="shared" si="0"/>
        <v>29400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25.5">
      <c r="A114" s="66" t="s">
        <v>21</v>
      </c>
      <c r="B114" s="24" t="s">
        <v>101</v>
      </c>
      <c r="C114" s="30">
        <f>D114+E114+F114</f>
        <v>5662.2</v>
      </c>
      <c r="D114" s="25"/>
      <c r="E114" s="25"/>
      <c r="F114" s="25">
        <f>2703.7+2703.7-0.2+255</f>
        <v>5662.2</v>
      </c>
      <c r="G114" s="25"/>
      <c r="H114" s="25"/>
      <c r="I114" s="25"/>
      <c r="J114" s="25"/>
      <c r="K114" s="84">
        <f t="shared" si="0"/>
        <v>5662.2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12" customHeight="1">
      <c r="A115" s="66" t="s">
        <v>139</v>
      </c>
      <c r="B115" s="20" t="s">
        <v>140</v>
      </c>
      <c r="C115" s="30">
        <f t="shared" si="10"/>
        <v>0</v>
      </c>
      <c r="D115" s="25"/>
      <c r="E115" s="25"/>
      <c r="F115" s="25"/>
      <c r="G115" s="25"/>
      <c r="H115" s="25">
        <v>665.4</v>
      </c>
      <c r="I115" s="25"/>
      <c r="J115" s="25"/>
      <c r="K115" s="84">
        <f>C115+H115</f>
        <v>665.4</v>
      </c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12.75">
      <c r="A116" s="69">
        <v>230000</v>
      </c>
      <c r="B116" s="24" t="s">
        <v>103</v>
      </c>
      <c r="C116" s="30">
        <f t="shared" si="10"/>
        <v>0.1</v>
      </c>
      <c r="D116" s="25"/>
      <c r="E116" s="25"/>
      <c r="F116" s="25">
        <v>0.1</v>
      </c>
      <c r="G116" s="25"/>
      <c r="H116" s="25"/>
      <c r="I116" s="25"/>
      <c r="J116" s="25"/>
      <c r="K116" s="84">
        <f t="shared" si="0"/>
        <v>0.1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ht="67.5" customHeight="1">
      <c r="A117" s="66" t="s">
        <v>142</v>
      </c>
      <c r="B117" s="24" t="s">
        <v>105</v>
      </c>
      <c r="C117" s="30">
        <f t="shared" si="10"/>
        <v>0</v>
      </c>
      <c r="D117" s="25"/>
      <c r="E117" s="25"/>
      <c r="F117" s="25"/>
      <c r="G117" s="25"/>
      <c r="H117" s="25">
        <f>38000+2200</f>
        <v>40200</v>
      </c>
      <c r="I117" s="25"/>
      <c r="J117" s="25"/>
      <c r="K117" s="84">
        <f aca="true" t="shared" si="11" ref="K117:K137">C117+H117</f>
        <v>40200</v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ht="12.75">
      <c r="A118" s="66">
        <v>250102</v>
      </c>
      <c r="B118" s="40" t="s">
        <v>107</v>
      </c>
      <c r="C118" s="30">
        <f t="shared" si="10"/>
        <v>1423.1000000000001</v>
      </c>
      <c r="D118" s="25"/>
      <c r="E118" s="25"/>
      <c r="F118" s="25">
        <f>4000-500-500-198.6-150-820-300-101.5-420+1000-586.8</f>
        <v>1423.1000000000001</v>
      </c>
      <c r="G118" s="25"/>
      <c r="H118" s="25"/>
      <c r="I118" s="25"/>
      <c r="J118" s="25"/>
      <c r="K118" s="84">
        <f t="shared" si="11"/>
        <v>1423.1000000000001</v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ht="51">
      <c r="A119" s="69">
        <v>250301</v>
      </c>
      <c r="B119" s="49" t="s">
        <v>196</v>
      </c>
      <c r="C119" s="30">
        <f t="shared" si="10"/>
        <v>14715</v>
      </c>
      <c r="D119" s="25"/>
      <c r="E119" s="25"/>
      <c r="F119" s="25">
        <v>14715</v>
      </c>
      <c r="G119" s="25"/>
      <c r="H119" s="25"/>
      <c r="I119" s="25"/>
      <c r="J119" s="25"/>
      <c r="K119" s="84">
        <f t="shared" si="11"/>
        <v>14715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ht="38.25">
      <c r="A120" s="69">
        <v>250306</v>
      </c>
      <c r="B120" s="24" t="s">
        <v>110</v>
      </c>
      <c r="C120" s="30">
        <f t="shared" si="10"/>
        <v>71802</v>
      </c>
      <c r="D120" s="25"/>
      <c r="E120" s="25"/>
      <c r="F120" s="25">
        <f>48032.7+12000+900+30+1650+119+1500+30+100+4654+300+500+30+1400-100+290+16+277+500+2000-2426.7</f>
        <v>71802</v>
      </c>
      <c r="G120" s="25"/>
      <c r="H120" s="25"/>
      <c r="I120" s="25"/>
      <c r="J120" s="25"/>
      <c r="K120" s="84">
        <f t="shared" si="11"/>
        <v>71802</v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ht="25.5">
      <c r="A121" s="69" t="s">
        <v>217</v>
      </c>
      <c r="B121" s="20" t="s">
        <v>253</v>
      </c>
      <c r="C121" s="30">
        <f t="shared" si="10"/>
        <v>226.20000000000002</v>
      </c>
      <c r="D121" s="25"/>
      <c r="E121" s="25"/>
      <c r="F121" s="25">
        <f>101.5+101.5+73.1-47.8-2.1</f>
        <v>226.20000000000002</v>
      </c>
      <c r="G121" s="25"/>
      <c r="H121" s="25"/>
      <c r="I121" s="25"/>
      <c r="J121" s="25"/>
      <c r="K121" s="84">
        <f t="shared" si="11"/>
        <v>226.20000000000002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ht="76.5">
      <c r="A122" s="69">
        <v>250313</v>
      </c>
      <c r="B122" s="46" t="s">
        <v>194</v>
      </c>
      <c r="C122" s="30">
        <f t="shared" si="10"/>
        <v>21399.2</v>
      </c>
      <c r="D122" s="25"/>
      <c r="E122" s="25"/>
      <c r="F122" s="25">
        <f>21892.9-493.7</f>
        <v>21399.2</v>
      </c>
      <c r="G122" s="25"/>
      <c r="H122" s="25"/>
      <c r="I122" s="25"/>
      <c r="J122" s="25"/>
      <c r="K122" s="84">
        <f t="shared" si="11"/>
        <v>21399.2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ht="12.75">
      <c r="A123" s="69" t="s">
        <v>321</v>
      </c>
      <c r="B123" s="46"/>
      <c r="C123" s="30">
        <f t="shared" si="10"/>
        <v>122542.5</v>
      </c>
      <c r="D123" s="25"/>
      <c r="E123" s="25"/>
      <c r="F123" s="25">
        <v>122542.5</v>
      </c>
      <c r="G123" s="25"/>
      <c r="H123" s="25"/>
      <c r="I123" s="25"/>
      <c r="J123" s="25"/>
      <c r="K123" s="84">
        <f t="shared" si="11"/>
        <v>122542.5</v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ht="38.25">
      <c r="A124" s="69" t="s">
        <v>16</v>
      </c>
      <c r="B124" s="46" t="s">
        <v>12</v>
      </c>
      <c r="C124" s="30">
        <f t="shared" si="10"/>
        <v>43796</v>
      </c>
      <c r="D124" s="25"/>
      <c r="E124" s="25"/>
      <c r="F124" s="30">
        <f>43616-1650-570+2400</f>
        <v>43796</v>
      </c>
      <c r="G124" s="25"/>
      <c r="H124" s="25"/>
      <c r="I124" s="25"/>
      <c r="J124" s="25"/>
      <c r="K124" s="84">
        <f t="shared" si="11"/>
        <v>43796</v>
      </c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ht="51">
      <c r="A125" s="69" t="s">
        <v>226</v>
      </c>
      <c r="B125" s="199" t="s">
        <v>219</v>
      </c>
      <c r="C125" s="30">
        <f t="shared" si="10"/>
        <v>112985.6</v>
      </c>
      <c r="D125" s="25"/>
      <c r="E125" s="25"/>
      <c r="F125" s="25">
        <f>93935.5+19050.1</f>
        <v>112985.6</v>
      </c>
      <c r="G125" s="25"/>
      <c r="H125" s="25"/>
      <c r="I125" s="25"/>
      <c r="J125" s="25"/>
      <c r="K125" s="84">
        <f t="shared" si="11"/>
        <v>112985.6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13" s="21" customFormat="1" ht="333.75" customHeight="1">
      <c r="A126" s="188" t="s">
        <v>227</v>
      </c>
      <c r="B126" s="200" t="s">
        <v>305</v>
      </c>
      <c r="C126" s="232">
        <f t="shared" si="10"/>
        <v>219261</v>
      </c>
      <c r="D126" s="235"/>
      <c r="E126" s="235"/>
      <c r="F126" s="235">
        <f>173905.7+21355.3+24000</f>
        <v>219261</v>
      </c>
      <c r="G126" s="235"/>
      <c r="H126" s="235"/>
      <c r="I126" s="235"/>
      <c r="J126" s="235"/>
      <c r="K126" s="248">
        <f t="shared" si="11"/>
        <v>219261</v>
      </c>
      <c r="L126" s="28"/>
      <c r="M126" s="29"/>
    </row>
    <row r="127" spans="1:13" s="21" customFormat="1" ht="38.25">
      <c r="A127" s="188"/>
      <c r="B127" s="198" t="s">
        <v>306</v>
      </c>
      <c r="C127" s="232"/>
      <c r="D127" s="235"/>
      <c r="E127" s="235"/>
      <c r="F127" s="235"/>
      <c r="G127" s="235"/>
      <c r="H127" s="235"/>
      <c r="I127" s="235"/>
      <c r="J127" s="235"/>
      <c r="K127" s="248"/>
      <c r="L127" s="28"/>
      <c r="M127" s="29"/>
    </row>
    <row r="128" spans="1:13" s="21" customFormat="1" ht="242.25" customHeight="1">
      <c r="A128" s="69" t="s">
        <v>216</v>
      </c>
      <c r="B128" s="197" t="s">
        <v>281</v>
      </c>
      <c r="C128" s="30">
        <f t="shared" si="10"/>
        <v>79174</v>
      </c>
      <c r="D128" s="30"/>
      <c r="E128" s="30"/>
      <c r="F128" s="30">
        <f>60229.2+5144.8+13800</f>
        <v>79174</v>
      </c>
      <c r="G128" s="30"/>
      <c r="H128" s="30"/>
      <c r="I128" s="30"/>
      <c r="J128" s="30"/>
      <c r="K128" s="84">
        <f t="shared" si="11"/>
        <v>79174</v>
      </c>
      <c r="L128" s="28"/>
      <c r="M128" s="29"/>
    </row>
    <row r="129" spans="1:13" s="21" customFormat="1" ht="138" customHeight="1">
      <c r="A129" s="69" t="s">
        <v>228</v>
      </c>
      <c r="B129" s="90" t="s">
        <v>223</v>
      </c>
      <c r="C129" s="30">
        <f t="shared" si="10"/>
        <v>23952.9</v>
      </c>
      <c r="D129" s="30"/>
      <c r="E129" s="30"/>
      <c r="F129" s="30">
        <f>21042.2+1610.7+1300</f>
        <v>23952.9</v>
      </c>
      <c r="G129" s="30"/>
      <c r="H129" s="30"/>
      <c r="I129" s="30"/>
      <c r="J129" s="30"/>
      <c r="K129" s="84">
        <f t="shared" si="11"/>
        <v>23952.9</v>
      </c>
      <c r="L129" s="28"/>
      <c r="M129" s="29"/>
    </row>
    <row r="130" spans="1:13" s="21" customFormat="1" ht="25.5" hidden="1">
      <c r="A130" s="69" t="s">
        <v>266</v>
      </c>
      <c r="B130" s="20" t="s">
        <v>267</v>
      </c>
      <c r="C130" s="30">
        <f t="shared" si="10"/>
        <v>0</v>
      </c>
      <c r="D130" s="30"/>
      <c r="E130" s="30"/>
      <c r="F130" s="30"/>
      <c r="G130" s="30"/>
      <c r="H130" s="30"/>
      <c r="I130" s="30"/>
      <c r="J130" s="30"/>
      <c r="K130" s="70">
        <f t="shared" si="11"/>
        <v>0</v>
      </c>
      <c r="L130" s="28"/>
      <c r="M130" s="29"/>
    </row>
    <row r="131" spans="1:12" s="21" customFormat="1" ht="55.5" customHeight="1">
      <c r="A131" s="69" t="s">
        <v>236</v>
      </c>
      <c r="B131" s="90" t="s">
        <v>225</v>
      </c>
      <c r="C131" s="30">
        <f t="shared" si="10"/>
        <v>0</v>
      </c>
      <c r="D131" s="30"/>
      <c r="E131" s="30"/>
      <c r="F131" s="30"/>
      <c r="G131" s="30"/>
      <c r="H131" s="30">
        <f>9037.8+200</f>
        <v>9237.8</v>
      </c>
      <c r="I131" s="30"/>
      <c r="J131" s="30"/>
      <c r="K131" s="84">
        <f t="shared" si="11"/>
        <v>9237.8</v>
      </c>
      <c r="L131" s="23"/>
    </row>
    <row r="132" spans="1:12" s="21" customFormat="1" ht="94.5" customHeight="1">
      <c r="A132" s="69" t="s">
        <v>15</v>
      </c>
      <c r="B132" s="90" t="s">
        <v>14</v>
      </c>
      <c r="C132" s="30">
        <f t="shared" si="10"/>
        <v>34441</v>
      </c>
      <c r="D132" s="30"/>
      <c r="E132" s="30"/>
      <c r="F132" s="30">
        <f>33441+1000</f>
        <v>34441</v>
      </c>
      <c r="G132" s="30"/>
      <c r="H132" s="30"/>
      <c r="I132" s="30"/>
      <c r="J132" s="30"/>
      <c r="K132" s="84">
        <f t="shared" si="11"/>
        <v>34441</v>
      </c>
      <c r="L132" s="23"/>
    </row>
    <row r="133" spans="1:12" s="21" customFormat="1" ht="12.75">
      <c r="A133" s="69" t="s">
        <v>6</v>
      </c>
      <c r="B133" s="90" t="s">
        <v>7</v>
      </c>
      <c r="C133" s="30">
        <f t="shared" si="10"/>
        <v>6484.6</v>
      </c>
      <c r="D133" s="30"/>
      <c r="E133" s="30"/>
      <c r="F133" s="30">
        <f>200+1140+450+2550+900+144.6+300+200+600</f>
        <v>6484.6</v>
      </c>
      <c r="G133" s="30"/>
      <c r="H133" s="30"/>
      <c r="I133" s="30"/>
      <c r="J133" s="30"/>
      <c r="K133" s="84">
        <f t="shared" si="11"/>
        <v>6484.6</v>
      </c>
      <c r="L133" s="23"/>
    </row>
    <row r="134" spans="1:12" s="21" customFormat="1" ht="88.5" customHeight="1">
      <c r="A134" s="69" t="s">
        <v>259</v>
      </c>
      <c r="B134" s="46" t="s">
        <v>293</v>
      </c>
      <c r="C134" s="30">
        <f t="shared" si="10"/>
        <v>47780.8</v>
      </c>
      <c r="D134" s="30"/>
      <c r="E134" s="30"/>
      <c r="F134" s="30">
        <v>47780.8</v>
      </c>
      <c r="G134" s="30"/>
      <c r="H134" s="30"/>
      <c r="I134" s="30"/>
      <c r="J134" s="30"/>
      <c r="K134" s="84">
        <f t="shared" si="11"/>
        <v>47780.8</v>
      </c>
      <c r="L134" s="23"/>
    </row>
    <row r="135" spans="1:12" s="21" customFormat="1" ht="38.25">
      <c r="A135" s="69" t="s">
        <v>258</v>
      </c>
      <c r="B135" s="90" t="s">
        <v>27</v>
      </c>
      <c r="C135" s="30">
        <f t="shared" si="10"/>
        <v>5800</v>
      </c>
      <c r="D135" s="30"/>
      <c r="E135" s="30"/>
      <c r="F135" s="30">
        <v>5800</v>
      </c>
      <c r="G135" s="30"/>
      <c r="H135" s="30"/>
      <c r="I135" s="30"/>
      <c r="J135" s="30"/>
      <c r="K135" s="84">
        <f t="shared" si="11"/>
        <v>5800</v>
      </c>
      <c r="L135" s="23"/>
    </row>
    <row r="136" spans="1:12" s="21" customFormat="1" ht="67.5" customHeight="1">
      <c r="A136" s="69" t="s">
        <v>47</v>
      </c>
      <c r="B136" s="90" t="s">
        <v>28</v>
      </c>
      <c r="C136" s="30">
        <f t="shared" si="10"/>
        <v>26500</v>
      </c>
      <c r="D136" s="30"/>
      <c r="E136" s="30"/>
      <c r="F136" s="30">
        <f>24900+1600</f>
        <v>26500</v>
      </c>
      <c r="G136" s="30"/>
      <c r="H136" s="30"/>
      <c r="I136" s="30"/>
      <c r="J136" s="30"/>
      <c r="K136" s="84">
        <f t="shared" si="11"/>
        <v>26500</v>
      </c>
      <c r="L136" s="23"/>
    </row>
    <row r="137" spans="1:12" s="21" customFormat="1" ht="12.75" hidden="1">
      <c r="A137" s="69" t="s">
        <v>317</v>
      </c>
      <c r="B137" s="90" t="s">
        <v>120</v>
      </c>
      <c r="C137" s="30">
        <f t="shared" si="10"/>
        <v>0</v>
      </c>
      <c r="D137" s="30"/>
      <c r="E137" s="30"/>
      <c r="F137" s="30"/>
      <c r="G137" s="30"/>
      <c r="H137" s="30"/>
      <c r="I137" s="30"/>
      <c r="J137" s="30"/>
      <c r="K137" s="84">
        <f t="shared" si="11"/>
        <v>0</v>
      </c>
      <c r="L137" s="23"/>
    </row>
    <row r="138" spans="1:59" s="21" customFormat="1" ht="14.25" customHeight="1" thickBot="1">
      <c r="A138" s="249" t="s">
        <v>111</v>
      </c>
      <c r="B138" s="250"/>
      <c r="C138" s="152">
        <f>C15+C29+C34+C42+C55+C57+C69+C73+C82+C87+C100+C102+C108+C104+C91+C106</f>
        <v>1383046.9</v>
      </c>
      <c r="D138" s="152">
        <f>D15+D29+D34+D42+D55+D57+D69+D73+D82+D87+D100+D102+D108+D104+E98</f>
        <v>158445</v>
      </c>
      <c r="E138" s="152">
        <f>E15+E29+E34+E42+E55+E57+E69+E73+E82+E87+E100+E102+E108+E104+F98</f>
        <v>32366.399999999998</v>
      </c>
      <c r="F138" s="152">
        <f>F15+F29+F34+F42+F55+F57+F69+F73+F82+F87+F100+F102+F108+F104+F91+F106</f>
        <v>1164382.9</v>
      </c>
      <c r="G138" s="152">
        <f>G15+G29+G34+G42+G55+G57+G69+G73+G82+G87+G100+G102+G108+G98</f>
        <v>27852.6</v>
      </c>
      <c r="H138" s="152">
        <f>H15+H29+H34+H42+H55+H57+H69+H73+H82+H87+H100+H102+H108+H91+H98</f>
        <v>172120.69999999998</v>
      </c>
      <c r="I138" s="152">
        <f>I15+I29+I34+I42+I55+I57+I69+I82+I87+I100+I102+I108+I91+I98</f>
        <v>72968.6</v>
      </c>
      <c r="J138" s="152">
        <f>J91</f>
        <v>556.6</v>
      </c>
      <c r="K138" s="153">
        <f>K15+K29+K34+K42+K55+K57+K69+K73+K82+K87+K100+K102+K108+K104+K91+K98+K106</f>
        <v>1555167.5999999996</v>
      </c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</row>
    <row r="139" spans="1:59" s="8" customFormat="1" ht="12.75">
      <c r="A139" s="78"/>
      <c r="B139" s="79"/>
      <c r="C139" s="28"/>
      <c r="D139" s="28"/>
      <c r="E139" s="28"/>
      <c r="F139" s="28"/>
      <c r="G139" s="28"/>
      <c r="H139" s="28"/>
      <c r="I139" s="28"/>
      <c r="J139" s="28"/>
      <c r="K139" s="28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</row>
    <row r="140" spans="3:12" ht="12.75">
      <c r="C140" s="32">
        <f>'№2'!C94</f>
        <v>1383046.9000000001</v>
      </c>
      <c r="D140" s="32">
        <f>'№2'!D94</f>
        <v>158445</v>
      </c>
      <c r="E140" s="32">
        <f>'№2'!E94</f>
        <v>32366.4</v>
      </c>
      <c r="F140" s="32">
        <f>'№2'!F94</f>
        <v>1164382.9</v>
      </c>
      <c r="G140" s="32">
        <f>'№2'!G94</f>
        <v>27852.6</v>
      </c>
      <c r="H140" s="32">
        <f>'№2'!H94</f>
        <v>172120.69999999998</v>
      </c>
      <c r="I140" s="32">
        <f>'№2'!I94</f>
        <v>72968.6</v>
      </c>
      <c r="J140" s="32">
        <f>'№2'!J94</f>
        <v>556.6</v>
      </c>
      <c r="K140" s="32">
        <f>'№2'!K94</f>
        <v>1555167.6</v>
      </c>
      <c r="L140" s="3">
        <v>1438523.3</v>
      </c>
    </row>
    <row r="141" spans="3:12" ht="12.75">
      <c r="C141" s="32">
        <f>C138-C140</f>
        <v>0</v>
      </c>
      <c r="D141" s="32">
        <f aca="true" t="shared" si="12" ref="D141:K141">D138-D140</f>
        <v>0</v>
      </c>
      <c r="E141" s="32">
        <f t="shared" si="12"/>
        <v>0</v>
      </c>
      <c r="F141" s="32">
        <f t="shared" si="12"/>
        <v>0</v>
      </c>
      <c r="G141" s="32">
        <f t="shared" si="12"/>
        <v>0</v>
      </c>
      <c r="H141" s="32">
        <f t="shared" si="12"/>
        <v>0</v>
      </c>
      <c r="I141" s="32">
        <f t="shared" si="12"/>
        <v>0</v>
      </c>
      <c r="J141" s="32">
        <f t="shared" si="12"/>
        <v>0</v>
      </c>
      <c r="K141" s="32">
        <f t="shared" si="12"/>
        <v>0</v>
      </c>
      <c r="L141" s="3"/>
    </row>
    <row r="142" spans="3:11" ht="12.75">
      <c r="C142" s="32">
        <f>'№1'!C72</f>
        <v>1372752</v>
      </c>
      <c r="D142" s="32"/>
      <c r="E142" s="32"/>
      <c r="F142" s="32"/>
      <c r="G142" s="32"/>
      <c r="H142" s="32">
        <f>'№1'!D72</f>
        <v>172120.7</v>
      </c>
      <c r="I142" s="32">
        <f>'№1'!E72</f>
        <v>72968.6</v>
      </c>
      <c r="J142" s="32"/>
      <c r="K142" s="32">
        <f>'№1'!F72</f>
        <v>1544872.7</v>
      </c>
    </row>
    <row r="143" spans="3:11" ht="15">
      <c r="C143" s="41"/>
      <c r="F143" s="89"/>
      <c r="I143" s="32"/>
      <c r="K143" s="32"/>
    </row>
    <row r="144" spans="3:11" ht="12.75">
      <c r="C144" s="43">
        <f>C138-C142</f>
        <v>10294.899999999907</v>
      </c>
      <c r="D144" s="44"/>
      <c r="E144" s="44"/>
      <c r="F144" s="44"/>
      <c r="G144" s="44"/>
      <c r="H144" s="43"/>
      <c r="I144" s="44"/>
      <c r="K144" s="43">
        <f>K138-K142</f>
        <v>10294.899999999674</v>
      </c>
    </row>
    <row r="145" spans="3:11" ht="12.75">
      <c r="C145" s="41"/>
      <c r="D145" s="32"/>
      <c r="E145" s="32"/>
      <c r="F145" s="32"/>
      <c r="G145" s="32"/>
      <c r="H145" s="32"/>
      <c r="I145" s="32"/>
      <c r="J145" s="32"/>
      <c r="K145" s="32">
        <f>C144-K144</f>
        <v>2.3283064365386963E-10</v>
      </c>
    </row>
    <row r="146" spans="3:12" ht="12.75">
      <c r="C146" s="86"/>
      <c r="D146" s="86"/>
      <c r="E146" s="86"/>
      <c r="F146" s="86"/>
      <c r="G146" s="86"/>
      <c r="H146" s="86"/>
      <c r="I146" s="86"/>
      <c r="J146" s="86"/>
      <c r="K146" s="86"/>
      <c r="L146" s="87"/>
    </row>
    <row r="147" spans="3:12" ht="12.75">
      <c r="C147" s="87"/>
      <c r="D147" s="32"/>
      <c r="E147" s="32"/>
      <c r="F147" s="32"/>
      <c r="G147" s="32"/>
      <c r="H147" s="32"/>
      <c r="I147" s="32"/>
      <c r="J147" s="32"/>
      <c r="K147" s="32"/>
      <c r="L147" s="65"/>
    </row>
    <row r="148" ht="12.75">
      <c r="C148" s="35"/>
    </row>
    <row r="149" ht="12.75">
      <c r="C149" s="35"/>
    </row>
    <row r="150" spans="3:6" ht="12.75">
      <c r="C150" s="35"/>
      <c r="F150" s="33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</sheetData>
  <mergeCells count="26">
    <mergeCell ref="K126:K127"/>
    <mergeCell ref="A138:B138"/>
    <mergeCell ref="J12:J13"/>
    <mergeCell ref="A126:A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  <mergeCell ref="H12:H13"/>
    <mergeCell ref="F1:K1"/>
    <mergeCell ref="H4:K4"/>
    <mergeCell ref="H6:K6"/>
    <mergeCell ref="A8:K8"/>
  </mergeCells>
  <printOptions/>
  <pageMargins left="0.984251968503937" right="0.1968503937007874" top="0.7874015748031497" bottom="0.44" header="0.5118110236220472" footer="0.5118110236220472"/>
  <pageSetup horizontalDpi="600" verticalDpi="600" orientation="portrait" paperSize="9" scale="66" r:id="rId1"/>
  <rowBreaks count="1" manualBreakCount="1">
    <brk id="1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75" zoomScaleSheetLayoutView="75" workbookViewId="0" topLeftCell="A1">
      <selection activeCell="D13" sqref="D13"/>
    </sheetView>
  </sheetViews>
  <sheetFormatPr defaultColWidth="9.00390625" defaultRowHeight="12.75"/>
  <cols>
    <col min="2" max="2" width="36.375" style="0" customWidth="1"/>
    <col min="3" max="3" width="10.125" style="0" customWidth="1"/>
    <col min="4" max="4" width="10.625" style="0" customWidth="1"/>
    <col min="5" max="5" width="12.625" style="0" customWidth="1"/>
  </cols>
  <sheetData>
    <row r="1" spans="3:5" ht="12.75">
      <c r="C1" s="252" t="s">
        <v>322</v>
      </c>
      <c r="D1" s="252"/>
      <c r="E1" s="252"/>
    </row>
    <row r="2" spans="3:5" ht="12.75">
      <c r="C2" s="252" t="s">
        <v>49</v>
      </c>
      <c r="D2" s="252"/>
      <c r="E2" s="252"/>
    </row>
    <row r="3" spans="3:5" ht="12.75">
      <c r="C3" s="252" t="s">
        <v>323</v>
      </c>
      <c r="D3" s="252"/>
      <c r="E3" s="252"/>
    </row>
    <row r="4" spans="3:5" ht="12.75">
      <c r="C4" s="252"/>
      <c r="D4" s="252"/>
      <c r="E4" s="252"/>
    </row>
    <row r="5" spans="1:5" ht="12.75">
      <c r="A5" s="251" t="s">
        <v>324</v>
      </c>
      <c r="B5" s="251"/>
      <c r="C5" s="251"/>
      <c r="D5" s="251"/>
      <c r="E5" s="251"/>
    </row>
    <row r="7" ht="13.5" thickBot="1">
      <c r="E7" s="176" t="s">
        <v>187</v>
      </c>
    </row>
    <row r="8" spans="1:5" ht="26.25" thickBot="1">
      <c r="A8" s="177" t="s">
        <v>145</v>
      </c>
      <c r="B8" s="177" t="s">
        <v>325</v>
      </c>
      <c r="C8" s="177" t="s">
        <v>56</v>
      </c>
      <c r="D8" s="177" t="s">
        <v>147</v>
      </c>
      <c r="E8" s="177" t="s">
        <v>326</v>
      </c>
    </row>
    <row r="9" spans="1:5" ht="13.5" thickBot="1">
      <c r="A9" s="177">
        <v>1</v>
      </c>
      <c r="B9" s="177">
        <v>2</v>
      </c>
      <c r="C9" s="177">
        <v>3</v>
      </c>
      <c r="D9" s="177">
        <v>4</v>
      </c>
      <c r="E9" s="177">
        <v>5</v>
      </c>
    </row>
    <row r="10" spans="1:5" ht="13.5" thickBot="1">
      <c r="A10" s="177">
        <v>200000</v>
      </c>
      <c r="B10" s="178" t="s">
        <v>327</v>
      </c>
      <c r="C10" s="179">
        <f>D10+E10</f>
        <v>10294.9</v>
      </c>
      <c r="D10" s="180">
        <f>D11</f>
        <v>10294.9</v>
      </c>
      <c r="E10" s="181"/>
    </row>
    <row r="11" spans="1:5" ht="26.25" thickBot="1">
      <c r="A11" s="182">
        <v>208000</v>
      </c>
      <c r="B11" s="183" t="s">
        <v>328</v>
      </c>
      <c r="C11" s="179">
        <f>D11+E11</f>
        <v>10294.9</v>
      </c>
      <c r="D11" s="180">
        <f>D12</f>
        <v>10294.9</v>
      </c>
      <c r="E11" s="184"/>
    </row>
    <row r="12" spans="1:5" ht="13.5" thickBot="1">
      <c r="A12" s="182">
        <v>208100</v>
      </c>
      <c r="B12" s="183" t="s">
        <v>329</v>
      </c>
      <c r="C12" s="179">
        <f>D12+E12</f>
        <v>10294.9</v>
      </c>
      <c r="D12" s="180">
        <f>9694.9+600</f>
        <v>10294.9</v>
      </c>
      <c r="E12" s="185"/>
    </row>
    <row r="13" ht="12.75">
      <c r="B13" s="186"/>
    </row>
    <row r="14" ht="12.75">
      <c r="B14" s="186"/>
    </row>
    <row r="15" ht="12.75">
      <c r="B15" s="186"/>
    </row>
    <row r="16" ht="12.75">
      <c r="B16" s="186"/>
    </row>
    <row r="17" ht="12.75">
      <c r="B17" s="186"/>
    </row>
    <row r="18" ht="12.75">
      <c r="B18" s="186"/>
    </row>
    <row r="19" ht="12.75">
      <c r="B19" s="186"/>
    </row>
    <row r="20" ht="12.75">
      <c r="B20" s="186"/>
    </row>
    <row r="21" ht="12.75">
      <c r="B21" s="186"/>
    </row>
    <row r="22" ht="12.75">
      <c r="B22" s="186"/>
    </row>
    <row r="23" ht="12.75">
      <c r="B23" s="186"/>
    </row>
    <row r="24" ht="12.75">
      <c r="B24" s="186"/>
    </row>
    <row r="25" ht="12.75">
      <c r="B25" s="186"/>
    </row>
    <row r="26" ht="12.75">
      <c r="B26" s="186"/>
    </row>
    <row r="27" ht="12.75">
      <c r="B27" s="186"/>
    </row>
    <row r="28" ht="12.75">
      <c r="B28" s="186"/>
    </row>
    <row r="29" ht="12.75">
      <c r="B29" s="186"/>
    </row>
    <row r="30" ht="12.75">
      <c r="B30" s="186"/>
    </row>
    <row r="31" ht="12.75">
      <c r="B31" s="186"/>
    </row>
    <row r="32" ht="12.75">
      <c r="B32" s="186"/>
    </row>
  </sheetData>
  <mergeCells count="5">
    <mergeCell ref="A5:E5"/>
    <mergeCell ref="C1:E1"/>
    <mergeCell ref="C2:E2"/>
    <mergeCell ref="C3:E3"/>
    <mergeCell ref="C4:E4"/>
  </mergeCells>
  <printOptions/>
  <pageMargins left="1.07" right="0.27" top="0.4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90" zoomScaleSheetLayoutView="90" workbookViewId="0" topLeftCell="A4">
      <selection activeCell="D20" sqref="D20"/>
    </sheetView>
  </sheetViews>
  <sheetFormatPr defaultColWidth="9.00390625" defaultRowHeight="12.75"/>
  <cols>
    <col min="1" max="1" width="32.25390625" style="114" customWidth="1"/>
    <col min="2" max="2" width="17.25390625" style="114" customWidth="1"/>
    <col min="3" max="3" width="23.625" style="114" customWidth="1"/>
    <col min="4" max="4" width="9.25390625" style="114" customWidth="1"/>
    <col min="5" max="16384" width="8.875" style="114" customWidth="1"/>
  </cols>
  <sheetData>
    <row r="1" spans="3:5" ht="13.5" customHeight="1">
      <c r="C1" s="5" t="s">
        <v>45</v>
      </c>
      <c r="E1" s="5"/>
    </row>
    <row r="2" spans="3:5" ht="12.75">
      <c r="C2" s="3" t="s">
        <v>141</v>
      </c>
      <c r="E2" s="3"/>
    </row>
    <row r="3" spans="3:5" ht="12.75">
      <c r="C3" s="5" t="s">
        <v>286</v>
      </c>
      <c r="E3" s="5"/>
    </row>
    <row r="4" spans="4:5" ht="12.75">
      <c r="D4" s="5"/>
      <c r="E4" s="5"/>
    </row>
    <row r="5" spans="1:7" ht="33.75" customHeight="1">
      <c r="A5" s="258" t="s">
        <v>289</v>
      </c>
      <c r="B5" s="258"/>
      <c r="C5" s="258"/>
      <c r="D5" s="258"/>
      <c r="F5" s="115"/>
      <c r="G5" s="115"/>
    </row>
    <row r="6" ht="13.5" thickBot="1"/>
    <row r="7" spans="1:4" ht="13.5" thickBot="1">
      <c r="A7" s="253" t="s">
        <v>191</v>
      </c>
      <c r="B7" s="255" t="s">
        <v>38</v>
      </c>
      <c r="C7" s="256"/>
      <c r="D7" s="257"/>
    </row>
    <row r="8" spans="1:4" ht="64.5" thickBot="1">
      <c r="A8" s="254"/>
      <c r="B8" s="119" t="s">
        <v>42</v>
      </c>
      <c r="C8" s="136" t="s">
        <v>40</v>
      </c>
      <c r="D8" s="132" t="s">
        <v>35</v>
      </c>
    </row>
    <row r="9" spans="1:4" ht="12.75">
      <c r="A9" s="150" t="s">
        <v>318</v>
      </c>
      <c r="B9" s="260">
        <v>144.6</v>
      </c>
      <c r="C9" s="149"/>
      <c r="D9" s="133">
        <f>B9+C9</f>
        <v>144.6</v>
      </c>
    </row>
    <row r="10" spans="1:4" ht="12.75">
      <c r="A10" s="259" t="s">
        <v>330</v>
      </c>
      <c r="B10" s="260">
        <v>600</v>
      </c>
      <c r="C10" s="149"/>
      <c r="D10" s="133">
        <f>B10+C10</f>
        <v>600</v>
      </c>
    </row>
    <row r="11" spans="1:4" ht="10.5" customHeight="1">
      <c r="A11" s="121" t="s">
        <v>29</v>
      </c>
      <c r="B11" s="126">
        <f>400+200</f>
        <v>600</v>
      </c>
      <c r="C11" s="137"/>
      <c r="D11" s="133">
        <f>B11+C11</f>
        <v>600</v>
      </c>
    </row>
    <row r="12" spans="1:4" ht="12.75">
      <c r="A12" s="122" t="s">
        <v>30</v>
      </c>
      <c r="B12" s="127">
        <v>1000</v>
      </c>
      <c r="C12" s="128"/>
      <c r="D12" s="134">
        <f aca="true" t="shared" si="0" ref="D12:D19">B12+C12</f>
        <v>1000</v>
      </c>
    </row>
    <row r="13" spans="1:4" ht="12.75">
      <c r="A13" s="122" t="s">
        <v>31</v>
      </c>
      <c r="B13" s="127">
        <v>500</v>
      </c>
      <c r="C13" s="128"/>
      <c r="D13" s="134">
        <f t="shared" si="0"/>
        <v>500</v>
      </c>
    </row>
    <row r="14" spans="1:4" ht="12.75">
      <c r="A14" s="122" t="s">
        <v>32</v>
      </c>
      <c r="B14" s="127">
        <v>500</v>
      </c>
      <c r="C14" s="128"/>
      <c r="D14" s="134">
        <f t="shared" si="0"/>
        <v>500</v>
      </c>
    </row>
    <row r="15" spans="1:4" ht="12.75">
      <c r="A15" s="123" t="s">
        <v>39</v>
      </c>
      <c r="B15" s="261"/>
      <c r="C15" s="129">
        <v>200</v>
      </c>
      <c r="D15" s="134">
        <f t="shared" si="0"/>
        <v>200</v>
      </c>
    </row>
    <row r="16" spans="1:4" ht="12.75">
      <c r="A16" s="123" t="s">
        <v>33</v>
      </c>
      <c r="B16" s="129">
        <v>750</v>
      </c>
      <c r="C16" s="128"/>
      <c r="D16" s="134">
        <f t="shared" si="0"/>
        <v>750</v>
      </c>
    </row>
    <row r="17" spans="1:4" ht="15" customHeight="1">
      <c r="A17" s="124" t="s">
        <v>41</v>
      </c>
      <c r="B17" s="130">
        <f>380+450+300</f>
        <v>1130</v>
      </c>
      <c r="C17" s="128"/>
      <c r="D17" s="134">
        <f t="shared" si="0"/>
        <v>1130</v>
      </c>
    </row>
    <row r="18" spans="1:4" ht="15" customHeight="1">
      <c r="A18" s="124" t="s">
        <v>34</v>
      </c>
      <c r="B18" s="130">
        <v>300</v>
      </c>
      <c r="C18" s="128"/>
      <c r="D18" s="134">
        <f t="shared" si="0"/>
        <v>300</v>
      </c>
    </row>
    <row r="19" spans="1:4" ht="15" customHeight="1" thickBot="1">
      <c r="A19" s="125" t="s">
        <v>43</v>
      </c>
      <c r="B19" s="131">
        <v>760</v>
      </c>
      <c r="C19" s="138"/>
      <c r="D19" s="135">
        <f t="shared" si="0"/>
        <v>760</v>
      </c>
    </row>
    <row r="20" spans="1:4" ht="15" customHeight="1" thickBot="1">
      <c r="A20" s="118" t="s">
        <v>44</v>
      </c>
      <c r="B20" s="120">
        <f>SUM(B9:B19)</f>
        <v>6284.6</v>
      </c>
      <c r="C20" s="120">
        <f>SUM(C9:C19)</f>
        <v>200</v>
      </c>
      <c r="D20" s="148">
        <f>SUM(D9:D19)</f>
        <v>6484.6</v>
      </c>
    </row>
  </sheetData>
  <mergeCells count="3">
    <mergeCell ref="A7:A8"/>
    <mergeCell ref="B7:D7"/>
    <mergeCell ref="A5:D5"/>
  </mergeCells>
  <printOptions/>
  <pageMargins left="0.8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turlo</cp:lastModifiedBy>
  <cp:lastPrinted>2004-12-15T19:06:25Z</cp:lastPrinted>
  <dcterms:created xsi:type="dcterms:W3CDTF">2003-12-10T21:35:36Z</dcterms:created>
  <dcterms:modified xsi:type="dcterms:W3CDTF">2004-12-15T19:06:56Z</dcterms:modified>
  <cp:category/>
  <cp:version/>
  <cp:contentType/>
  <cp:contentStatus/>
</cp:coreProperties>
</file>