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15" windowHeight="4185" activeTab="1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externalReferences>
    <externalReference r:id="rId10"/>
  </externalReferences>
  <definedNames>
    <definedName name="_xlnm._FilterDatabase" localSheetId="2" hidden="1">'№3'!$A$14:$BG$153</definedName>
    <definedName name="Pfujkjdrb_lkz_gtxfnb">'№1'!$7:$9</definedName>
    <definedName name="Z_1D767D7F_3A7F_4027_AABF_9FB18720D692_.wvu.Cols" localSheetId="1" hidden="1">'№2'!#REF!,'№2'!$J:$J</definedName>
    <definedName name="Z_1D767D7F_3A7F_4027_AABF_9FB18720D692_.wvu.Cols" localSheetId="2" hidden="1">'№3'!#REF!,'№3'!$J:$J</definedName>
    <definedName name="Z_1D767D7F_3A7F_4027_AABF_9FB18720D692_.wvu.Cols" localSheetId="4" hidden="1">'№5'!$P:$P,'№5'!$T:$V</definedName>
    <definedName name="Z_1D767D7F_3A7F_4027_AABF_9FB18720D692_.wvu.FilterData" localSheetId="2" hidden="1">'№3'!$A$14:$BG$153</definedName>
    <definedName name="Z_1D767D7F_3A7F_4027_AABF_9FB18720D692_.wvu.PrintArea" localSheetId="0" hidden="1">'№1'!$A$1:$F$61</definedName>
    <definedName name="Z_1D767D7F_3A7F_4027_AABF_9FB18720D692_.wvu.PrintArea" localSheetId="1" hidden="1">'№2'!$A$1:$K$104</definedName>
    <definedName name="Z_1D767D7F_3A7F_4027_AABF_9FB18720D692_.wvu.PrintArea" localSheetId="2" hidden="1">'№3'!$A$1:$K$151</definedName>
    <definedName name="Z_1D767D7F_3A7F_4027_AABF_9FB18720D692_.wvu.PrintArea" localSheetId="4" hidden="1">'№5'!$A$1:$L$52</definedName>
    <definedName name="Z_1D767D7F_3A7F_4027_AABF_9FB18720D692_.wvu.PrintTitles" localSheetId="0" hidden="1">'№1'!$7:$9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PrintTitles" localSheetId="3" hidden="1">'№4'!$A:$A</definedName>
    <definedName name="Z_1D767D7F_3A7F_4027_AABF_9FB18720D692_.wvu.Rows" localSheetId="0" hidden="1">'№1'!$6:$6,'№1'!#REF!,'№1'!$33:$34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'№3'!$1:$3,'№3'!#REF!,'№3'!#REF!,'№3'!#REF!,'№3'!#REF!,'№3'!#REF!,'№3'!$59:$59,'№3'!#REF!,'№3'!#REF!,'№3'!#REF!,'№3'!$70:$77,'№3'!#REF!,'№3'!#REF!,'№3'!#REF!,'№3'!$101:$101,'№3'!$109:$116,'№3'!#REF!,'№3'!$130:$130</definedName>
    <definedName name="Z_1D767D7F_3A7F_4027_AABF_9FB18720D692_.wvu.Rows" localSheetId="4" hidden="1">'№5'!$7:$7,'№5'!$9:$9,'№5'!$11:$11,'№5'!$13:$13,'№5'!$15:$15,'№5'!$17:$19,'№5'!$21:$21,'№5'!$23:$26,'№5'!$28:$30,'№5'!$33:$36,'№5'!$38:$44,'№5'!$46:$50</definedName>
    <definedName name="Z_320DDB09_FBA8_4E1A_90A7_41493CE887A1_.wvu.Cols" localSheetId="1" hidden="1">'№2'!#REF!,'№2'!$J:$J</definedName>
    <definedName name="Z_320DDB09_FBA8_4E1A_90A7_41493CE887A1_.wvu.Cols" localSheetId="2" hidden="1">'№3'!#REF!,'№3'!$J:$J</definedName>
    <definedName name="Z_320DDB09_FBA8_4E1A_90A7_41493CE887A1_.wvu.FilterData" localSheetId="2" hidden="1">'№3'!$A$15:$A$132</definedName>
    <definedName name="Z_320DDB09_FBA8_4E1A_90A7_41493CE887A1_.wvu.PrintArea" localSheetId="1" hidden="1">'№2'!$A$1:$K$96</definedName>
    <definedName name="Z_320DDB09_FBA8_4E1A_90A7_41493CE887A1_.wvu.PrintArea" localSheetId="2" hidden="1">'№3'!$A$1:$K$131</definedName>
    <definedName name="Z_320DDB09_FBA8_4E1A_90A7_41493CE887A1_.wvu.Rows" localSheetId="1" hidden="1">'№2'!#REF!,'№2'!$39:$39,'№2'!#REF!,'№2'!#REF!,'№2'!$68:$68,'№2'!#REF!,'№2'!#REF!,'№2'!$74:$74,'№2'!$75:$75,'№2'!$79:$79,'№2'!#REF!,'№2'!#REF!,'№2'!#REF!,'№2'!#REF!,'№2'!#REF!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'№2'!#REF!,'№2'!$J:$J</definedName>
    <definedName name="Z_55FBEA9C_3FBC_4C2C_9CDD_81DB4A50B154_.wvu.Cols" localSheetId="2" hidden="1">'№3'!#REF!,'№3'!$J:$J</definedName>
    <definedName name="Z_55FBEA9C_3FBC_4C2C_9CDD_81DB4A50B154_.wvu.FilterData" localSheetId="2" hidden="1">'№3'!$A$14:$BG$132</definedName>
    <definedName name="Z_55FBEA9C_3FBC_4C2C_9CDD_81DB4A50B154_.wvu.PrintArea" localSheetId="1" hidden="1">'№2'!$A$1:$K$97</definedName>
    <definedName name="Z_55FBEA9C_3FBC_4C2C_9CDD_81DB4A50B154_.wvu.PrintArea" localSheetId="2" hidden="1">'№3'!$A$1:$K$139</definedName>
    <definedName name="Z_55FBEA9C_3FBC_4C2C_9CDD_81DB4A50B154_.wvu.Rows" localSheetId="1" hidden="1">'№2'!#REF!,'№2'!#REF!,'№2'!$39:$39,'№2'!$49:$51,'№2'!$59:$59,'№2'!$61:$61,'№2'!#REF!,'№2'!$68:$68,'№2'!#REF!,'№2'!#REF!,'№2'!$74:$74,'№2'!$75:$75,'№2'!$79:$79,'№2'!#REF!,'№2'!#REF!,'№2'!#REF!,'№2'!#REF!,'№2'!#REF!</definedName>
    <definedName name="Z_55FBEA9C_3FBC_4C2C_9CDD_81DB4A50B154_.wvu.Rows" localSheetId="2" hidden="1">'№3'!$1:$3,'№3'!#REF!,'№3'!#REF!,'№3'!$31:$31,'№3'!#REF!,'№3'!#REF!,'№3'!$37:$37,'№3'!$41:$41,'№3'!#REF!,'№3'!$43:$45,'№3'!$53:$53,'№3'!$55:$56,'№3'!#REF!,'№3'!$60:$65,'№3'!#REF!,'№3'!$77:$85,'№3'!#REF!,'№3'!$91:$108,'№3'!#REF!</definedName>
    <definedName name="Z_8182C82F_4179_437B_82A5_A0F1DB59C261_.wvu.FilterData" localSheetId="2" hidden="1">'№3'!$A$15:$A$132</definedName>
    <definedName name="Z_A47C3E8F_8E3D_438E_864D_FF8A86EB29FB_.wvu.PrintArea" localSheetId="1" hidden="1">'№2'!$A$1:$M$97</definedName>
    <definedName name="Z_AD77E662_1A59_48FE_B650_EFF948C00338_.wvu.FilterData" localSheetId="2" hidden="1">'№3'!$A$15:$A$132</definedName>
    <definedName name="Z_BB919BB1_78FC_411F_B89B_EE52A9A99CCD_.wvu.Cols" localSheetId="1" hidden="1">'№2'!#REF!,'№2'!$J:$J</definedName>
    <definedName name="Z_BB919BB1_78FC_411F_B89B_EE52A9A99CCD_.wvu.Cols" localSheetId="2" hidden="1">'№3'!#REF!,'№3'!$J:$J</definedName>
    <definedName name="Z_BB919BB1_78FC_411F_B89B_EE52A9A99CCD_.wvu.FilterData" localSheetId="2" hidden="1">'№3'!$A$14:$BG$132</definedName>
    <definedName name="Z_BB919BB1_78FC_411F_B89B_EE52A9A99CCD_.wvu.PrintArea" localSheetId="1" hidden="1">'№2'!$A$1:$K$97</definedName>
    <definedName name="Z_BB919BB1_78FC_411F_B89B_EE52A9A99CCD_.wvu.PrintArea" localSheetId="2" hidden="1">'№3'!$A$1:$K$131</definedName>
    <definedName name="Z_BB919BB1_78FC_411F_B89B_EE52A9A99CCD_.wvu.Rows" localSheetId="1" hidden="1">'№2'!#REF!,'№2'!#REF!,'№2'!$39:$39,'№2'!$41:$42,'№2'!$49:$51,'№2'!$59:$59,'№2'!$61:$61,'№2'!#REF!,'№2'!#REF!,'№2'!$68:$68,'№2'!#REF!,'№2'!#REF!,'№2'!$74:$75,'№2'!$79:$91,'№2'!#REF!,'№2'!#REF!</definedName>
    <definedName name="Z_BB919BB1_78FC_411F_B89B_EE52A9A99CCD_.wvu.Rows" localSheetId="2" hidden="1">'№3'!$1:$3,'№3'!#REF!,'№3'!$25:$31,'№3'!#REF!,'№3'!#REF!,'№3'!$37:$37,'№3'!$41:$41,'№3'!#REF!,'№3'!$43:$45,'№3'!$53:$53,'№3'!$55:$56,'№3'!#REF!,'№3'!$60:$65,'№3'!#REF!,'№3'!$77:$85,'№3'!#REF!,'№3'!$91:$108,'№3'!#REF!,'№3'!#REF!,'№3'!#REF!,'№3'!#REF!,'№3'!#REF!,'№3'!$127:$128,'№3'!#REF!</definedName>
    <definedName name="Z_C0D6CD41_0FD1_49C4_B712_F128344CF647_.wvu.Cols" localSheetId="1" hidden="1">'№2'!#REF!,'№2'!$J:$J</definedName>
    <definedName name="Z_C0D6CD41_0FD1_49C4_B712_F128344CF647_.wvu.Cols" localSheetId="2" hidden="1">'№3'!#REF!,'№3'!$J:$J</definedName>
    <definedName name="Z_C0D6CD41_0FD1_49C4_B712_F128344CF647_.wvu.Cols" localSheetId="4" hidden="1">'№5'!$P:$P,'№5'!$T:$V</definedName>
    <definedName name="Z_C0D6CD41_0FD1_49C4_B712_F128344CF647_.wvu.FilterData" localSheetId="2" hidden="1">'№3'!$A$14:$BG$153</definedName>
    <definedName name="Z_C0D6CD41_0FD1_49C4_B712_F128344CF647_.wvu.PrintArea" localSheetId="0" hidden="1">'№1'!$A$1:$F$61</definedName>
    <definedName name="Z_C0D6CD41_0FD1_49C4_B712_F128344CF647_.wvu.PrintArea" localSheetId="1" hidden="1">'№2'!$A$1:$K$104</definedName>
    <definedName name="Z_C0D6CD41_0FD1_49C4_B712_F128344CF647_.wvu.PrintArea" localSheetId="2" hidden="1">'№3'!$A$1:$K$151</definedName>
    <definedName name="Z_C0D6CD41_0FD1_49C4_B712_F128344CF647_.wvu.PrintArea" localSheetId="4" hidden="1">'№5'!$A$1:$L$52</definedName>
    <definedName name="Z_C0D6CD41_0FD1_49C4_B712_F128344CF647_.wvu.PrintTitles" localSheetId="0" hidden="1">'№1'!$7:$9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PrintTitles" localSheetId="3" hidden="1">'№4'!$A:$A</definedName>
    <definedName name="Z_C0D6CD41_0FD1_49C4_B712_F128344CF647_.wvu.Rows" localSheetId="0" hidden="1">'№1'!$6:$6,'№1'!$21:$21,'№1'!#REF!,'№1'!$33:$34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'№3'!$1:$3,'№3'!#REF!,'№3'!#REF!,'№3'!#REF!,'№3'!#REF!,'№3'!#REF!,'№3'!$59:$59,'№3'!#REF!,'№3'!#REF!,'№3'!#REF!,'№3'!$70:$77,'№3'!#REF!,'№3'!#REF!,'№3'!#REF!,'№3'!$101:$101,'№3'!$109:$116,'№3'!#REF!,'№3'!$130:$130</definedName>
    <definedName name="Z_C0D6CD41_0FD1_49C4_B712_F128344CF647_.wvu.Rows" localSheetId="4" hidden="1">'№5'!$7:$7,'№5'!$9:$9,'№5'!$11:$11,'№5'!$13:$13,'№5'!$15:$15,'№5'!$17:$19,'№5'!$21:$21,'№5'!$23:$26,'№5'!$28:$30,'№5'!$33:$36,'№5'!$38:$44,'№5'!$46:$50</definedName>
    <definedName name="Z_CDF83A7A_6F8D_4548_8D63_D97509A38F07_.wvu.Cols" localSheetId="1" hidden="1">'№2'!#REF!,'№2'!$J:$J</definedName>
    <definedName name="Z_CDF83A7A_6F8D_4548_8D63_D97509A38F07_.wvu.Cols" localSheetId="2" hidden="1">'№3'!#REF!,'№3'!$J:$J</definedName>
    <definedName name="Z_CDF83A7A_6F8D_4548_8D63_D97509A38F07_.wvu.Cols" localSheetId="4" hidden="1">'№5'!$P:$P,'№5'!$T:$V</definedName>
    <definedName name="Z_CDF83A7A_6F8D_4548_8D63_D97509A38F07_.wvu.FilterData" localSheetId="2" hidden="1">'№3'!$A$14:$BG$153</definedName>
    <definedName name="Z_CDF83A7A_6F8D_4548_8D63_D97509A38F07_.wvu.PrintArea" localSheetId="0" hidden="1">'№1'!$A$1:$F$61</definedName>
    <definedName name="Z_CDF83A7A_6F8D_4548_8D63_D97509A38F07_.wvu.PrintArea" localSheetId="1" hidden="1">'№2'!$A$1:$K$104</definedName>
    <definedName name="Z_CDF83A7A_6F8D_4548_8D63_D97509A38F07_.wvu.PrintArea" localSheetId="2" hidden="1">'№3'!$A$1:$K$151</definedName>
    <definedName name="Z_CDF83A7A_6F8D_4548_8D63_D97509A38F07_.wvu.PrintArea" localSheetId="4" hidden="1">'№5'!$A$1:$L$52</definedName>
    <definedName name="Z_CDF83A7A_6F8D_4548_8D63_D97509A38F07_.wvu.PrintTitles" localSheetId="0" hidden="1">'№1'!$7:$9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PrintTitles" localSheetId="3" hidden="1">'№4'!$A:$A</definedName>
    <definedName name="Z_CDF83A7A_6F8D_4548_8D63_D97509A38F07_.wvu.Rows" localSheetId="0" hidden="1">'№1'!$6:$6,'№1'!#REF!,'№1'!$33:$34,'№1'!#REF!,'№1'!#REF!,'№1'!#REF!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$74:$74,'№2'!#REF!,'№2'!#REF!,'№2'!#REF!,'№2'!$96:$96,'№2'!#REF!,'№2'!$100:$103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$59:$59,'№3'!#REF!,'№3'!#REF!,'№3'!#REF!,'№3'!$70:$77,'№3'!#REF!,'№3'!#REF!,'№3'!#REF!,'№3'!#REF!,'№3'!#REF!,'№3'!$101:$101,'№3'!#REF!,'№3'!$109:$116,'№3'!#REF!,'№3'!$130:$130,'№3'!#REF!,'№3'!#REF!,'№3'!#REF!,'№3'!#REF!,'№3'!#REF!,'№3'!#REF!,'№3'!#REF!,'№3'!$148:$149</definedName>
    <definedName name="Z_CDF83A7A_6F8D_4548_8D63_D97509A38F07_.wvu.Rows" localSheetId="4" hidden="1">'№5'!$7:$7,'№5'!$9:$9,'№5'!$11:$11,'№5'!$13:$13,'№5'!$15:$15,'№5'!$17:$19,'№5'!$21:$21,'№5'!$23:$26,'№5'!$28:$30,'№5'!$33:$36,'№5'!$38:$44,'№5'!$46:$50</definedName>
    <definedName name="Z_D733478A_EE58_449F_AC74_766E540A8B9D_.wvu.FilterData" localSheetId="2" hidden="1">'№3'!$A$15:$A$132</definedName>
    <definedName name="_xlnm.Print_Titles" localSheetId="0">'№1'!$7:$9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'№1'!$A$1:$F$61</definedName>
    <definedName name="_xlnm.Print_Area" localSheetId="1">'№2'!$A$1:$K$104</definedName>
    <definedName name="_xlnm.Print_Area" localSheetId="2">'№3'!$A$1:$K$151</definedName>
    <definedName name="_xlnm.Print_Area" localSheetId="3">'№4'!$A$1:$U$56</definedName>
    <definedName name="_xlnm.Print_Area" localSheetId="4">'№5'!$A$1:$L$52</definedName>
    <definedName name="_xlnm.Print_Area" localSheetId="5">'№6'!$A$1:$E$14</definedName>
    <definedName name="_xlnm.Print_Area" localSheetId="6">'№7'!$A$1:$K$59</definedName>
  </definedNames>
  <calcPr fullCalcOnLoad="1"/>
</workbook>
</file>

<file path=xl/sharedStrings.xml><?xml version="1.0" encoding="utf-8"?>
<sst xmlns="http://schemas.openxmlformats.org/spreadsheetml/2006/main" count="825" uniqueCount="457">
  <si>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</si>
  <si>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</si>
  <si>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</si>
  <si>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Управление культуры и туризма облгосадминистрации</t>
  </si>
  <si>
    <t>250326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</si>
  <si>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</t>
  </si>
  <si>
    <t>43010000</t>
  </si>
  <si>
    <t>Управление образования и науки облгосадминистрации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</si>
  <si>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</si>
  <si>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</si>
  <si>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</si>
  <si>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</si>
  <si>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</si>
  <si>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</si>
  <si>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</si>
  <si>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</si>
  <si>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</si>
  <si>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</si>
  <si>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</si>
  <si>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</si>
  <si>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</si>
  <si>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</si>
  <si>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</si>
  <si>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</si>
  <si>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</si>
  <si>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</si>
  <si>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</si>
  <si>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</si>
  <si>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</si>
  <si>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</si>
  <si>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</si>
  <si>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</si>
  <si>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</si>
  <si>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Всего доходов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</si>
  <si>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</si>
  <si>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</si>
  <si>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</si>
  <si>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</si>
  <si>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</si>
  <si>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</si>
  <si>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</si>
  <si>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</si>
  <si>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</si>
  <si>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</si>
  <si>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</si>
  <si>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</si>
  <si>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</si>
  <si>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</si>
  <si>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</si>
  <si>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</si>
  <si>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Культура и искусство, в том числе</t>
  </si>
  <si>
    <t>110102</t>
  </si>
  <si>
    <t>Театры</t>
  </si>
  <si>
    <t>110103</t>
  </si>
  <si>
    <t>Расходы на проведение работ, связанных со строительством, реконструкцией, ремонтом и  содержанием автомобильных дорог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</si>
  <si>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</si>
  <si>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</si>
  <si>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</si>
  <si>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250403</t>
  </si>
  <si>
    <t>250344</t>
  </si>
  <si>
    <t>250328</t>
  </si>
  <si>
    <t>250329</t>
  </si>
  <si>
    <t>250330</t>
  </si>
  <si>
    <t>250380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</si>
  <si>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вывоза бытового мусора и жидких нечистот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</si>
  <si>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 принципу "деньги ходят за ребенком"  </t>
  </si>
  <si>
    <t>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</si>
  <si>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финансирование в 2009 году Программ-победителей Всеукраинского конкурса проектов и программ развития местного самоуправления 2008 года</t>
  </si>
  <si>
    <t>Дотация на выравнивание финансовой обеспеченности местных бюджетов</t>
  </si>
  <si>
    <t>41036300</t>
  </si>
  <si>
    <t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</t>
  </si>
  <si>
    <t>Высшие учреждения образования III и IV уровней аккредитации</t>
  </si>
  <si>
    <t>091108</t>
  </si>
  <si>
    <t>Мероприятия по организации 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катастрофы</t>
  </si>
  <si>
    <t>090212</t>
  </si>
  <si>
    <t>Льготы на медицинское обслуживание гражданам, пострадавшим вследствие Чернобыльской катастрофы</t>
  </si>
  <si>
    <t>Образование (высшие учреждения образования І-ІІ уровней аккредитации; прочие учреждения и мероприятия последипломного образования) , в т.ч.</t>
  </si>
  <si>
    <t>Здравоохранение (содержание лечебно-профилактических учреждений, проведение мероприятий и выполнение программ), в т.ч.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</si>
  <si>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</si>
  <si>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доходи</t>
  </si>
  <si>
    <t>отклонения</t>
  </si>
  <si>
    <t>Дотация выравнивания из государственного бюджета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</si>
  <si>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</si>
  <si>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</si>
  <si>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41034300</t>
  </si>
  <si>
    <t>41032300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</si>
  <si>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строительства газопроводов и газификацию населенных пунктов    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</si>
  <si>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виплатам, передусмотренным статьей 57 Закона Украины "Об образовании" педагогическим, научно - педагогическим и другим категориям работников учебных заведений"</t>
  </si>
  <si>
    <t>Образование (учреждения образования, программы и мероприятия в сфере образования), в том числе:</t>
  </si>
  <si>
    <t>Социальные программы и мероприятия государственных органов по делам молодежи</t>
  </si>
  <si>
    <t>110502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</si>
  <si>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</si>
  <si>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Высшие учреждения образования І-ІІ уровней аккредитации</t>
  </si>
  <si>
    <t>080400</t>
  </si>
  <si>
    <t>180109</t>
  </si>
  <si>
    <t>250404</t>
  </si>
  <si>
    <t>090417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</si>
  <si>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несовершеннолетних)</t>
  </si>
  <si>
    <t>Расходы на содержание учреждений соцобеспечения и отдельные мероприятия по социальной защите</t>
  </si>
  <si>
    <t>090412, 090416, 090601, 090901, 091207, 091209, 091210, 091212</t>
  </si>
  <si>
    <t>250325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</si>
  <si>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</si>
  <si>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</si>
  <si>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</si>
  <si>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</si>
  <si>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</si>
  <si>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</si>
  <si>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</si>
  <si>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</si>
  <si>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</si>
  <si>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</si>
  <si>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</si>
  <si>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 xml:space="preserve">Специализированные поликлиники  (врачебно-физкультурный диспансер) </t>
  </si>
  <si>
    <t>в том числе:</t>
  </si>
  <si>
    <t>Приложение 4</t>
  </si>
  <si>
    <t>Наименование административно-территориальных единиц</t>
  </si>
  <si>
    <t>Субвенции общего фонда:</t>
  </si>
  <si>
    <t>Субвенции специального фонда: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</si>
  <si>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</si>
  <si>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</si>
  <si>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</si>
  <si>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</si>
  <si>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работникам учебных заведений"</t>
  </si>
  <si>
    <t>компенсация за льготный проезд в городском и пригородном электро- и автотранспорте отдельных категорий граждан</t>
  </si>
  <si>
    <t>компенсация за льготный проезд в железнодорожном транспорте пригородного сообщения отдельных категорий граждан</t>
  </si>
  <si>
    <t>льготы на услуги связи</t>
  </si>
  <si>
    <t>компенсация за льготный проезд междугороднего сообщения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</si>
  <si>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ЧАЕС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</si>
  <si>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</si>
  <si>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</si>
  <si>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</si>
  <si>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</si>
  <si>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</si>
  <si>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</si>
  <si>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</si>
  <si>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</si>
  <si>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</si>
  <si>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</si>
  <si>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</si>
  <si>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</si>
  <si>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</si>
  <si>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</si>
  <si>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Кировское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</si>
  <si>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</si>
  <si>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</si>
  <si>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</si>
  <si>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</si>
  <si>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</si>
  <si>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</si>
  <si>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</si>
  <si>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</si>
  <si>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</si>
  <si>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</si>
  <si>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</si>
  <si>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</si>
  <si>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</si>
  <si>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</si>
  <si>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</si>
  <si>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</si>
  <si>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</si>
  <si>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</si>
  <si>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Великоновоселковский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</si>
  <si>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</si>
  <si>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</si>
  <si>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</si>
  <si>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</si>
  <si>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</si>
  <si>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</si>
  <si>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</si>
  <si>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</si>
  <si>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</si>
  <si>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</si>
  <si>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</si>
  <si>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</si>
  <si>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</si>
  <si>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</si>
  <si>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</si>
  <si>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Приложение 5</t>
  </si>
  <si>
    <t xml:space="preserve">Субвенции из областного бюджета бюджетам городов и районов </t>
  </si>
  <si>
    <t xml:space="preserve">на содержание приютов для несовершеннолетних                             </t>
  </si>
  <si>
    <t>Итого</t>
  </si>
  <si>
    <t>Харцызск</t>
  </si>
  <si>
    <t>В-Новоселковский</t>
  </si>
  <si>
    <t>Областной</t>
  </si>
  <si>
    <t>130000</t>
  </si>
  <si>
    <t>110201</t>
  </si>
  <si>
    <t>110300</t>
  </si>
  <si>
    <t>120300</t>
  </si>
  <si>
    <t>070601</t>
  </si>
  <si>
    <t>170703</t>
  </si>
  <si>
    <t>250306</t>
  </si>
  <si>
    <t>091301</t>
  </si>
  <si>
    <t>Выплаты, определенные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</si>
  <si>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070809</t>
  </si>
  <si>
    <t>Главное финансовое управление облгосадминистрации</t>
  </si>
  <si>
    <t>Высшие учебные заведения III-IV уровня акредитации</t>
  </si>
  <si>
    <t xml:space="preserve"> 070602</t>
  </si>
  <si>
    <t xml:space="preserve">Программа "Образование Донбасса. 2007-2011 гг." 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</si>
  <si>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</si>
  <si>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</si>
  <si>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</si>
  <si>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</si>
  <si>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</si>
  <si>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</si>
  <si>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</si>
  <si>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</si>
  <si>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</si>
  <si>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</si>
  <si>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</si>
  <si>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</si>
  <si>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</si>
  <si>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</si>
  <si>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</si>
  <si>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</si>
  <si>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</si>
  <si>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</si>
  <si>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</si>
  <si>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</si>
  <si>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</si>
  <si>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</si>
  <si>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по вопросам физической культуры и спорта облгосадминистрации</t>
  </si>
  <si>
    <t>070000</t>
  </si>
  <si>
    <t>Образование</t>
  </si>
  <si>
    <t>080000</t>
  </si>
  <si>
    <t>Здравоохранение</t>
  </si>
  <si>
    <t>250343</t>
  </si>
  <si>
    <t>250382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</si>
  <si>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</si>
  <si>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</si>
  <si>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</si>
  <si>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</si>
  <si>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</si>
  <si>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</si>
  <si>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</si>
  <si>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</si>
  <si>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Жилищно-коммунальное хозяйство</t>
  </si>
  <si>
    <t>Кинематография</t>
  </si>
  <si>
    <t>Средства массовой информации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</si>
  <si>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</si>
  <si>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</si>
  <si>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</si>
  <si>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</si>
  <si>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</si>
  <si>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</si>
  <si>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</si>
  <si>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</si>
  <si>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</si>
  <si>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</si>
  <si>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</si>
  <si>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</si>
  <si>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</si>
  <si>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Главное управление капитального строительства облгосадминистрации</t>
  </si>
  <si>
    <t>общий фонд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</si>
  <si>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</si>
  <si>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</si>
  <si>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</si>
  <si>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</si>
  <si>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</si>
  <si>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</si>
  <si>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</si>
  <si>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</si>
  <si>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</si>
  <si>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Детско-юношеская спортивная школа главного  управления образования и науки</t>
  </si>
  <si>
    <t>Библиотеки</t>
  </si>
  <si>
    <t>Помощь по уходу за инвалидами I или II группы вследствие психического расстройства</t>
  </si>
  <si>
    <t>всего</t>
  </si>
  <si>
    <t>41020600</t>
  </si>
  <si>
    <t>081009</t>
  </si>
  <si>
    <t xml:space="preserve">240601  240602  240603  240604 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</si>
  <si>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</si>
  <si>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41035800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</si>
  <si>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</si>
  <si>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081011</t>
  </si>
  <si>
    <t>091303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</si>
  <si>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</si>
  <si>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Установка телефонов инвалидам I и II групп 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</si>
  <si>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</si>
  <si>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программа "Образование Донбасса. 2007-2011 гг." </t>
  </si>
  <si>
    <t>Компенсационные выплаты инвалидам на бензин, ремонт, техобслуживание автотранспорта и транспортное обслуживание</t>
  </si>
  <si>
    <t>091304</t>
  </si>
  <si>
    <t xml:space="preserve">Установка телефонам инвалидам I и II групп </t>
  </si>
  <si>
    <t>110105</t>
  </si>
  <si>
    <t>Финансовая поддержка гастрольной деятельности</t>
  </si>
  <si>
    <t>250313</t>
  </si>
  <si>
    <t>Дополнительная дотация из государственного бюджета на выравнивание финансовой обеспеченности местных бюджетов</t>
  </si>
  <si>
    <t>250339</t>
  </si>
  <si>
    <t>250376</t>
  </si>
  <si>
    <t>250915</t>
  </si>
  <si>
    <t>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</si>
  <si>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по главным распорядителям средств</t>
  </si>
  <si>
    <t>Субвенция из местного бюджета государственному бюджету на выполнение программ социально-экономического и культурного развития региона</t>
  </si>
  <si>
    <t xml:space="preserve">110201   110202   110204
</t>
  </si>
  <si>
    <t>Учреждения культуры</t>
  </si>
  <si>
    <t>Прочие культурно-образовательные учреждения и мероприятия</t>
  </si>
  <si>
    <t>Прил.2</t>
  </si>
  <si>
    <t>250102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</si>
  <si>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</si>
  <si>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</si>
  <si>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</si>
  <si>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</si>
  <si>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</si>
  <si>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</si>
  <si>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</si>
  <si>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</si>
  <si>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</si>
  <si>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</si>
  <si>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Управление по делам прессы и информации облгосадминистрации</t>
  </si>
  <si>
    <t>41036600</t>
  </si>
  <si>
    <t>250383</t>
  </si>
  <si>
    <t>100601</t>
  </si>
  <si>
    <t>Распределение расходов областного бюджета на 2009 год</t>
  </si>
  <si>
    <t>Субвенция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</si>
  <si>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Расходы областного бюджета на 2009 год</t>
  </si>
  <si>
    <t>Доходы областного бюджета на 2009 год</t>
  </si>
  <si>
    <t xml:space="preserve">на ликвидацию последствий экономического кризиса и чрезвычайных ситуаций природного характера </t>
  </si>
  <si>
    <t>Управление строительства и архитектуры облгосадминистрации</t>
  </si>
  <si>
    <t>Расходы на покрытие прочих задолженностей, возникших в предшествующие годы</t>
  </si>
  <si>
    <t xml:space="preserve">    210105</t>
  </si>
  <si>
    <t>150202</t>
  </si>
  <si>
    <t>210000</t>
  </si>
  <si>
    <t>на расходы за поставленные и не оплаченные в 2008 году товары, работы и услуги</t>
  </si>
  <si>
    <t xml:space="preserve">Капитальные вложения  в т.ч. </t>
  </si>
  <si>
    <t>150000</t>
  </si>
  <si>
    <t>Расходы на предупреждение и ликвидацию чрезвычайных ситуаций и последствий стихийного бедствия в т.ч.</t>
  </si>
  <si>
    <t>Разработка схем и проектных решений массового применения в т.ч.</t>
  </si>
  <si>
    <t>Предупреждение и ликвидация чрезвычайных ситуаций и последствий стихийного бедствия в т.ч.</t>
  </si>
  <si>
    <t>Высшие учреждения образования 1-II уровней аккредитации в т.ч.</t>
  </si>
  <si>
    <t>100202</t>
  </si>
  <si>
    <t>Водопроводно-канализационное хозяйство</t>
  </si>
  <si>
    <t>Водопроводно-канализационное хозяйство в т.ч.</t>
  </si>
  <si>
    <t>150101</t>
  </si>
  <si>
    <t>171000</t>
  </si>
  <si>
    <t>Деятельность и услуги, не отнесенные к другим категориям</t>
  </si>
  <si>
    <t>120100</t>
  </si>
  <si>
    <t>Телевидение и радиовещание</t>
  </si>
  <si>
    <t>Cредства полученные из общего фонда в бюджет развития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</si>
  <si>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Закона Украины "О Государственном бюджете Украины на 2009 год"</t>
  </si>
  <si>
    <t>41037000</t>
  </si>
  <si>
    <t>Субвенция из государственного бюджета местным бюджетам на проведение выборов депутатов ВР АРК, местных советов и сельских, поселковых, городских голов</t>
  </si>
  <si>
    <t>250388</t>
  </si>
  <si>
    <t>расходы</t>
  </si>
  <si>
    <t>на проведение выборов депутатов ВР АРК, местных советов и сельских, поселковых, городских голов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</si>
  <si>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</si>
  <si>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</si>
  <si>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41035000</t>
  </si>
  <si>
    <t>государственные, региональные программы и централизованные мероприятия</t>
  </si>
  <si>
    <t>Периодические издания (газеты и журналы)</t>
  </si>
  <si>
    <t>120201</t>
  </si>
  <si>
    <t>Приложение 6</t>
  </si>
  <si>
    <t>№ п/п</t>
  </si>
  <si>
    <t>КФК расходов</t>
  </si>
  <si>
    <t>120000</t>
  </si>
  <si>
    <t>Главный распорядитель</t>
  </si>
  <si>
    <t>Управление по делам семьи и молодежи</t>
  </si>
  <si>
    <t>Управление по делам прессы и информации</t>
  </si>
  <si>
    <t>Главное управление жилищно-коммунального хозяйства</t>
  </si>
  <si>
    <t>Проведение оздоровления и летнего отдыха детей</t>
  </si>
  <si>
    <t>Организация централизованного обеспечения коммунальных газет области бумагой</t>
  </si>
  <si>
    <t>специальный фонд</t>
  </si>
  <si>
    <t>Димитров</t>
  </si>
  <si>
    <t>Всего по бюджетам городов</t>
  </si>
  <si>
    <t xml:space="preserve">Великоновоселковский </t>
  </si>
  <si>
    <t xml:space="preserve">Волновахский </t>
  </si>
  <si>
    <t xml:space="preserve">Володарский </t>
  </si>
  <si>
    <t xml:space="preserve">Константиновский </t>
  </si>
  <si>
    <t xml:space="preserve">Красноармейский </t>
  </si>
  <si>
    <t xml:space="preserve">Новоазовский </t>
  </si>
  <si>
    <t xml:space="preserve">Александровский </t>
  </si>
  <si>
    <t xml:space="preserve">Першотравневый </t>
  </si>
  <si>
    <t xml:space="preserve">Славянский </t>
  </si>
  <si>
    <t xml:space="preserve">Старобешевский </t>
  </si>
  <si>
    <t xml:space="preserve">Тельмановский </t>
  </si>
  <si>
    <t xml:space="preserve">Шахтерский </t>
  </si>
  <si>
    <t>Всего по бюджетам районов</t>
  </si>
  <si>
    <t>Всего по бюджетам</t>
  </si>
  <si>
    <t>Фонд</t>
  </si>
  <si>
    <t>Наименование мероприятий</t>
  </si>
  <si>
    <t>субвенции</t>
  </si>
  <si>
    <t xml:space="preserve">Объем средств субвенций, передаваемых областному бюджету бюджетами городов областного значения и районными бюджетами на выполнение государственных, региональных программ и совместных мероприятий </t>
  </si>
  <si>
    <t>Главное управление жилищно-коммунального хозяйства облгосадминистрации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</si>
  <si>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</si>
  <si>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</si>
  <si>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</si>
  <si>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бюджетов</t>
  </si>
  <si>
    <t>На начало периода</t>
  </si>
  <si>
    <t>Главное управление экономики облгосадминистрации</t>
  </si>
  <si>
    <t>180404</t>
  </si>
  <si>
    <t>Поддержка малого и среднего предпринимательства</t>
  </si>
  <si>
    <t xml:space="preserve">Главное управление промышленности и развития инфраструктуры облгосадминистрации </t>
  </si>
  <si>
    <t xml:space="preserve">на реконструкцию фасадов жилых домов в г.Донецк в рамках подготовки к проведению чемпионата Европы по футболу 2009 года </t>
  </si>
  <si>
    <t xml:space="preserve">на социально-экономическое развитие </t>
  </si>
  <si>
    <t>Финансирование областного бюджета (источники покрытия дефицита)  в 2009 году</t>
  </si>
  <si>
    <t>Приложение 7</t>
  </si>
  <si>
    <t>100000</t>
  </si>
  <si>
    <t>Главное управление агропромышленного развития облгосадминистрации</t>
  </si>
  <si>
    <t>130112</t>
  </si>
  <si>
    <t>150118</t>
  </si>
  <si>
    <t xml:space="preserve">Жилищное строительство и приобретение жилья для отдельных категорий населения  </t>
  </si>
  <si>
    <t>на погашение задолженности областного бюджета за 2008 год</t>
  </si>
  <si>
    <t>100302</t>
  </si>
  <si>
    <t>Комбинаты коммунальных предприятий, районные производственные объединения и прочие предприятия, учреждения и организации жилищно-коммунального хозяйства</t>
  </si>
  <si>
    <t>расходы по возмещению затрат на проведение работ по отчуждению объектов областной коммунальной собственности</t>
  </si>
  <si>
    <t>180410</t>
  </si>
  <si>
    <t>Прочие мероприятия, связанные с экономической деятельностью</t>
  </si>
  <si>
    <t xml:space="preserve">Строительство,  в т.ч. 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</si>
  <si>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возникшей в связи с несоответствием фактической стоимости тепловой энергии, услуг по водоснабжению и водоотведению тарифам, утверждавшимся или согласовывавшимся органами государственной власти и органами местного самоуправления</t>
  </si>
  <si>
    <t>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возникшей в связи с несоответствием фактической стоимости тепловой энергии, услуг по водоснабжению и водоотведению тарифам, утверждавшимся или согласовывавшимся органами государственной власти или органами местного самоуправления</t>
  </si>
  <si>
    <t xml:space="preserve">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возникшей в связи с несоответствием фактической стоимости тепловой энергии, услуг по водоснабжению и водоотведению тарифам, утверждавшимся или согласовывавшимся органами государственной власти и органами местного самоуправления</t>
  </si>
  <si>
    <t>Главное управление по вопросам чрезвычайных ситуаций, мобилизационной и оборонной работы облгосадминистрации</t>
  </si>
  <si>
    <t>Субвенция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</si>
  <si>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на обеспечение лечения инвалидов-спинальников в Донецкой областной больнице восстановительного лечения</t>
  </si>
  <si>
    <t xml:space="preserve">  Название главного распорядителя средств</t>
  </si>
  <si>
    <t xml:space="preserve">Филармонии, музыкальные коллективы и ансамбли и прочие учреждения искусства и мероприятия </t>
  </si>
  <si>
    <t>на реализацию мини-проектов, направленных на решение социальных проблем территориальных громад Донецкой области</t>
  </si>
  <si>
    <t>на ремонт и замену надгробий на братских могилах воинов Великой Отечественной войны</t>
  </si>
  <si>
    <t>41021200</t>
  </si>
  <si>
    <t>Дополнительная дотация из государственного бюджета на обеспечение лечения больных сахарным диабеиом</t>
  </si>
  <si>
    <t>41033200</t>
  </si>
  <si>
    <t>080201</t>
  </si>
  <si>
    <t xml:space="preserve">Специализированные больницы и другие специализированняе учреждения  (центры, диспансеры, госпитали для инвалидов ВОВ, лепрозории, медико-санитарные части т.п., которые имеют койковую сеть), в т.ч. </t>
  </si>
  <si>
    <t>100101</t>
  </si>
  <si>
    <t>Разработка схем и проектных решений массового применения</t>
  </si>
  <si>
    <t>раздел «Защита населения и территорий от чрезвычайных ситуаций» Программы экономического и социального развития Донецкой области на 2009 год</t>
  </si>
  <si>
    <t>100206</t>
  </si>
  <si>
    <t>Гостиничное хозяйство</t>
  </si>
  <si>
    <t>Жилищно-эксплуатационное хозяйство</t>
  </si>
  <si>
    <t xml:space="preserve">Жилищно-коммунальное хозяйство </t>
  </si>
  <si>
    <t>160903</t>
  </si>
  <si>
    <t>Программы в отрасли сельского хозяйства, лесного хозяйства, рыболовства и охоты</t>
  </si>
  <si>
    <t>раздел «Охрана окружающей природной среды» Программы экономического и социального развития Донецкой области на 2009 год</t>
  </si>
  <si>
    <t>раздел «Развитие земельных отношений» Программы экономического и социального развития Донецкой области на 2009 год</t>
  </si>
  <si>
    <t>Программа развития архивного дела в Донецкой области на 2006-2010 гг.</t>
  </si>
  <si>
    <t>250335</t>
  </si>
  <si>
    <t>Субвенция из государственного бюджета местным бюджетам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</si>
  <si>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приобретение школьных автобусов для детей перевозки детей, проживающих в сельской местности</t>
  </si>
  <si>
    <t>Мероприятия комплексной программы "Сахарный диабет" и лечение несахарного диабета</t>
  </si>
  <si>
    <t>Специализированные больницы и другие специализированные учреждения  (центры, диспансеры, госпитали для инвалидов ВОВ, лепрозории, медико-санитарные части т.п., которые имеют койковую сеть)</t>
  </si>
  <si>
    <t xml:space="preserve">Специализированные больницы и другие специализированные учреждения  (центры, диспансеры, госпитали для инвалидов ВОВ, лепрозории, медико-санитарные части т.п., которые имеют койковую сеть), в т.ч. </t>
  </si>
  <si>
    <t>Главное управление здравоохранения облгосадминистрации</t>
  </si>
  <si>
    <t xml:space="preserve">на лечение больных с хронической почечной недостаточностью методом перитонеального диализа </t>
  </si>
  <si>
    <t>150119</t>
  </si>
  <si>
    <t>Проведение неотложных восстановительных работ, строительство и реконструкция специализированных больниц и др.специализированных учреждений</t>
  </si>
  <si>
    <t>В том числе за счет субвенции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</si>
  <si>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на приобретение учебных пособий для учащихся первых классов общеобразовательных учебных учреждений</t>
  </si>
  <si>
    <t xml:space="preserve">Капитальные вложения  </t>
  </si>
  <si>
    <t>Реформирование и развитие жилищно-коммунального хозяйства (2007 год)</t>
  </si>
  <si>
    <t>Капитальный ремонт и модернизация лифтов жилищного фонда(2007 год)</t>
  </si>
  <si>
    <t>Мероприятия по комплексной реконструкции кварталов(микрорайонов) устаревшего жилищного фонда(2007 год)</t>
  </si>
  <si>
    <t>Государственный архив Донецкой области</t>
  </si>
  <si>
    <t>Рреформирование и развитие жилищно-коммунального хозяйства и затраты за счет субвенции из государственного бюджета местным бюджетам на мероприятия по энергосбережению,в т.ч.оснащение инженерных вводов многоквартирных жилых домов приборами учета потребления воды и тепловой энергии,ремонт и реконструкцию тепловых сетей и котельных,строительство газопроводов и газификацию населенных пунктов (2008 год)</t>
  </si>
  <si>
    <t xml:space="preserve">Поступления от размещения  в учреждениях банков временно свободных бюджетных  средств </t>
  </si>
  <si>
    <t xml:space="preserve">Плата за аренду целостных имущественных комплексов и другого государственного имущества </t>
  </si>
  <si>
    <t>150121</t>
  </si>
  <si>
    <t>Мероприятия по предупреждению аварий и предотвращению техногенных катастроф в жилищно-коммунальном хозяйстве и на прочих аварийных об"ектах коммунальной собственности</t>
  </si>
  <si>
    <t>210105</t>
  </si>
  <si>
    <t>100201</t>
  </si>
  <si>
    <t>Тепловые сети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</si>
</sst>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  <numFmt numFmtId="192" formatCode="#,##0.0000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10"/>
      <name val="Arial"/>
      <family val="0"/>
    </font>
    <font>
      <sz val="11.5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0" fontId="1" fillId="0" borderId="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172" fontId="3" fillId="0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/>
    </xf>
    <xf numFmtId="172" fontId="1" fillId="2" borderId="4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0" fontId="1" fillId="2" borderId="4" xfId="0" applyNumberFormat="1" applyFont="1" applyFill="1" applyBorder="1" applyAlignment="1">
      <alignment vertical="top" wrapText="1"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vertical="top" wrapText="1"/>
    </xf>
    <xf numFmtId="172" fontId="3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3" fontId="1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2" borderId="23" xfId="0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vertical="top" wrapText="1"/>
    </xf>
    <xf numFmtId="172" fontId="1" fillId="2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2" fontId="17" fillId="0" borderId="4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2" fontId="17" fillId="0" borderId="12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9" fillId="0" borderId="4" xfId="15" applyFont="1" applyBorder="1">
      <alignment/>
      <protection/>
    </xf>
    <xf numFmtId="172" fontId="17" fillId="0" borderId="18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72" fontId="17" fillId="0" borderId="27" xfId="0" applyNumberFormat="1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3" fontId="17" fillId="0" borderId="0" xfId="0" applyNumberFormat="1" applyFont="1" applyBorder="1" applyAlignment="1">
      <alignment horizontal="center" vertical="center" wrapText="1"/>
    </xf>
    <xf numFmtId="172" fontId="17" fillId="0" borderId="4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 vertical="center" wrapText="1"/>
    </xf>
    <xf numFmtId="172" fontId="17" fillId="0" borderId="18" xfId="0" applyNumberFormat="1" applyFont="1" applyBorder="1" applyAlignment="1">
      <alignment horizontal="center"/>
    </xf>
    <xf numFmtId="172" fontId="17" fillId="0" borderId="14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17" fillId="0" borderId="0" xfId="0" applyNumberFormat="1" applyFont="1" applyFill="1" applyAlignment="1">
      <alignment vertical="center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172" fontId="1" fillId="2" borderId="14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>
      <alignment horizontal="right" vertical="top"/>
    </xf>
    <xf numFmtId="172" fontId="17" fillId="0" borderId="4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9" fontId="2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1" fillId="0" borderId="31" xfId="0" applyNumberFormat="1" applyFont="1" applyFill="1" applyBorder="1" applyAlignment="1">
      <alignment horizontal="center"/>
    </xf>
    <xf numFmtId="0" fontId="1" fillId="0" borderId="0" xfId="19" applyFont="1">
      <alignment/>
      <protection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wrapText="1"/>
    </xf>
    <xf numFmtId="180" fontId="1" fillId="0" borderId="4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180" fontId="1" fillId="0" borderId="4" xfId="19" applyNumberFormat="1" applyFont="1" applyFill="1" applyBorder="1">
      <alignment/>
      <protection/>
    </xf>
    <xf numFmtId="180" fontId="1" fillId="0" borderId="4" xfId="19" applyNumberFormat="1" applyFont="1" applyBorder="1">
      <alignment/>
      <protection/>
    </xf>
    <xf numFmtId="180" fontId="1" fillId="0" borderId="0" xfId="0" applyNumberFormat="1" applyFont="1" applyAlignment="1">
      <alignment/>
    </xf>
    <xf numFmtId="180" fontId="1" fillId="0" borderId="4" xfId="19" applyNumberFormat="1" applyFont="1" applyBorder="1">
      <alignment/>
      <protection/>
    </xf>
    <xf numFmtId="180" fontId="3" fillId="0" borderId="4" xfId="19" applyNumberFormat="1" applyFont="1" applyBorder="1">
      <alignment/>
      <protection/>
    </xf>
    <xf numFmtId="180" fontId="1" fillId="0" borderId="0" xfId="19" applyNumberFormat="1" applyFont="1">
      <alignment/>
      <protection/>
    </xf>
    <xf numFmtId="172" fontId="3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center" wrapText="1"/>
    </xf>
    <xf numFmtId="172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 wrapText="1"/>
    </xf>
    <xf numFmtId="173" fontId="16" fillId="0" borderId="0" xfId="0" applyNumberFormat="1" applyAlignment="1">
      <alignment/>
    </xf>
    <xf numFmtId="0" fontId="16" fillId="0" borderId="0" xfId="0" applyAlignment="1">
      <alignment wrapText="1"/>
    </xf>
    <xf numFmtId="172" fontId="16" fillId="0" borderId="0" xfId="0" applyNumberFormat="1" applyAlignment="1">
      <alignment/>
    </xf>
    <xf numFmtId="172" fontId="17" fillId="0" borderId="27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17" fillId="0" borderId="12" xfId="0" applyNumberFormat="1" applyFont="1" applyFill="1" applyBorder="1" applyAlignment="1">
      <alignment horizontal="center" vertical="center" wrapText="1"/>
    </xf>
    <xf numFmtId="172" fontId="1" fillId="0" borderId="4" xfId="0" applyNumberFormat="1" applyFont="1" applyBorder="1" applyAlignment="1">
      <alignment/>
    </xf>
    <xf numFmtId="172" fontId="1" fillId="0" borderId="4" xfId="19" applyNumberFormat="1" applyFont="1" applyFill="1" applyBorder="1">
      <alignment/>
      <protection/>
    </xf>
    <xf numFmtId="172" fontId="1" fillId="0" borderId="4" xfId="19" applyNumberFormat="1" applyFont="1" applyBorder="1">
      <alignment/>
      <protection/>
    </xf>
    <xf numFmtId="172" fontId="3" fillId="0" borderId="4" xfId="0" applyNumberFormat="1" applyFont="1" applyBorder="1" applyAlignment="1">
      <alignment/>
    </xf>
    <xf numFmtId="172" fontId="1" fillId="2" borderId="4" xfId="19" applyNumberFormat="1" applyFont="1" applyFill="1" applyBorder="1">
      <alignment/>
      <protection/>
    </xf>
    <xf numFmtId="172" fontId="14" fillId="2" borderId="4" xfId="0" applyNumberFormat="1" applyFont="1" applyFill="1" applyBorder="1" applyAlignment="1">
      <alignment/>
    </xf>
    <xf numFmtId="172" fontId="1" fillId="0" borderId="4" xfId="19" applyNumberFormat="1" applyFont="1" applyBorder="1">
      <alignment/>
      <protection/>
    </xf>
    <xf numFmtId="172" fontId="3" fillId="0" borderId="4" xfId="19" applyNumberFormat="1" applyFont="1" applyBorder="1">
      <alignment/>
      <protection/>
    </xf>
    <xf numFmtId="49" fontId="1" fillId="0" borderId="23" xfId="0" applyNumberFormat="1" applyFont="1" applyFill="1" applyBorder="1" applyAlignment="1">
      <alignment horizontal="center" vertical="top"/>
    </xf>
    <xf numFmtId="172" fontId="1" fillId="0" borderId="27" xfId="0" applyNumberFormat="1" applyFont="1" applyFill="1" applyBorder="1" applyAlignment="1">
      <alignment horizontal="right"/>
    </xf>
    <xf numFmtId="172" fontId="17" fillId="0" borderId="0" xfId="0" applyNumberFormat="1" applyFont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172" fontId="17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center" wrapText="1"/>
    </xf>
    <xf numFmtId="172" fontId="17" fillId="0" borderId="33" xfId="0" applyNumberFormat="1" applyFont="1" applyBorder="1" applyAlignment="1">
      <alignment horizontal="center" vertical="center" wrapText="1"/>
    </xf>
    <xf numFmtId="172" fontId="17" fillId="0" borderId="0" xfId="0" applyNumberFormat="1" applyFont="1" applyBorder="1" applyAlignment="1">
      <alignment horizontal="center" vertical="center" wrapText="1"/>
    </xf>
    <xf numFmtId="172" fontId="17" fillId="0" borderId="30" xfId="0" applyNumberFormat="1" applyFont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172" fontId="17" fillId="0" borderId="27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30" xfId="0" applyNumberFormat="1" applyFont="1" applyBorder="1" applyAlignment="1">
      <alignment horizontal="center" vertical="center"/>
    </xf>
    <xf numFmtId="172" fontId="17" fillId="0" borderId="27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/>
    </xf>
    <xf numFmtId="172" fontId="17" fillId="0" borderId="27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172" fontId="17" fillId="0" borderId="34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72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/>
    </xf>
    <xf numFmtId="172" fontId="17" fillId="0" borderId="4" xfId="0" applyNumberFormat="1" applyFont="1" applyFill="1" applyBorder="1" applyAlignment="1">
      <alignment horizontal="center" vertical="center" wrapText="1"/>
    </xf>
    <xf numFmtId="172" fontId="17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/>
    </xf>
    <xf numFmtId="0" fontId="17" fillId="0" borderId="0" xfId="0" applyFont="1" applyFill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172" fontId="17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 horizontal="center" vertical="top" wrapText="1"/>
    </xf>
    <xf numFmtId="172" fontId="2" fillId="0" borderId="4" xfId="0" applyNumberFormat="1" applyFont="1" applyFill="1" applyBorder="1" applyAlignment="1">
      <alignment horizontal="center"/>
    </xf>
    <xf numFmtId="172" fontId="17" fillId="0" borderId="0" xfId="0" applyNumberFormat="1" applyFont="1" applyFill="1" applyAlignment="1">
      <alignment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172" fontId="1" fillId="0" borderId="35" xfId="0" applyNumberFormat="1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2" fontId="1" fillId="0" borderId="0" xfId="0" applyNumberFormat="1" applyFont="1" applyFill="1" applyAlignment="1">
      <alignment vertical="center"/>
    </xf>
    <xf numFmtId="172" fontId="1" fillId="0" borderId="4" xfId="0" applyNumberFormat="1" applyFont="1" applyFill="1" applyBorder="1" applyAlignment="1">
      <alignment horizontal="center" vertical="justify"/>
    </xf>
    <xf numFmtId="0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17" fillId="0" borderId="4" xfId="0" applyNumberFormat="1" applyFont="1" applyFill="1" applyBorder="1" applyAlignment="1">
      <alignment horizontal="center"/>
    </xf>
    <xf numFmtId="179" fontId="17" fillId="0" borderId="18" xfId="0" applyNumberFormat="1" applyFont="1" applyFill="1" applyBorder="1" applyAlignment="1">
      <alignment horizontal="center"/>
    </xf>
    <xf numFmtId="179" fontId="2" fillId="0" borderId="21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172" fontId="4" fillId="2" borderId="0" xfId="0" applyNumberFormat="1" applyFont="1" applyFill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172" fontId="17" fillId="0" borderId="35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 wrapText="1"/>
    </xf>
    <xf numFmtId="180" fontId="17" fillId="0" borderId="35" xfId="0" applyNumberFormat="1" applyFont="1" applyFill="1" applyBorder="1" applyAlignment="1">
      <alignment horizontal="center"/>
    </xf>
    <xf numFmtId="180" fontId="2" fillId="0" borderId="21" xfId="0" applyNumberFormat="1" applyFont="1" applyFill="1" applyBorder="1" applyAlignment="1">
      <alignment horizontal="center"/>
    </xf>
    <xf numFmtId="180" fontId="17" fillId="0" borderId="4" xfId="0" applyNumberFormat="1" applyFont="1" applyFill="1" applyBorder="1" applyAlignment="1">
      <alignment horizontal="center"/>
    </xf>
    <xf numFmtId="180" fontId="2" fillId="0" borderId="2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 shrinkToFi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1" fillId="0" borderId="38" xfId="0" applyFont="1" applyFill="1" applyBorder="1" applyAlignment="1">
      <alignment horizontal="center"/>
    </xf>
    <xf numFmtId="0" fontId="16" fillId="0" borderId="39" xfId="0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2" fontId="22" fillId="0" borderId="8" xfId="0" applyNumberFormat="1" applyFont="1" applyFill="1" applyBorder="1" applyAlignment="1">
      <alignment horizontal="center" vertical="center"/>
    </xf>
    <xf numFmtId="172" fontId="22" fillId="0" borderId="36" xfId="0" applyNumberFormat="1" applyFont="1" applyFill="1" applyBorder="1" applyAlignment="1">
      <alignment horizontal="center" vertical="center"/>
    </xf>
    <xf numFmtId="172" fontId="22" fillId="0" borderId="2" xfId="0" applyNumberFormat="1" applyFont="1" applyFill="1" applyBorder="1" applyAlignment="1">
      <alignment horizontal="center" vertical="center"/>
    </xf>
    <xf numFmtId="9" fontId="22" fillId="0" borderId="36" xfId="0" applyNumberFormat="1" applyFont="1" applyFill="1" applyBorder="1" applyAlignment="1">
      <alignment horizontal="center" vertical="center" wrapText="1"/>
    </xf>
    <xf numFmtId="9" fontId="22" fillId="0" borderId="2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>
      <alignment horizontal="center" vertical="center" wrapText="1"/>
    </xf>
    <xf numFmtId="9" fontId="22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9" fontId="22" fillId="0" borderId="46" xfId="0" applyNumberFormat="1" applyFont="1" applyFill="1" applyBorder="1" applyAlignment="1">
      <alignment horizontal="center" vertical="center" wrapText="1"/>
    </xf>
    <xf numFmtId="9" fontId="22" fillId="0" borderId="25" xfId="0" applyNumberFormat="1" applyFont="1" applyFill="1" applyBorder="1" applyAlignment="1">
      <alignment horizontal="center" vertical="center" wrapText="1"/>
    </xf>
    <xf numFmtId="9" fontId="22" fillId="0" borderId="47" xfId="0" applyNumberFormat="1" applyFont="1" applyFill="1" applyBorder="1" applyAlignment="1">
      <alignment horizontal="center" vertical="center" wrapText="1"/>
    </xf>
    <xf numFmtId="9" fontId="22" fillId="0" borderId="26" xfId="0" applyNumberFormat="1" applyFont="1" applyFill="1" applyBorder="1" applyAlignment="1">
      <alignment horizontal="center" vertical="center" wrapText="1"/>
    </xf>
    <xf numFmtId="9" fontId="22" fillId="0" borderId="4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9" xfId="19" applyFont="1" applyFill="1" applyBorder="1" applyAlignment="1">
      <alignment horizontal="center" vertical="center" wrapText="1"/>
      <protection/>
    </xf>
    <xf numFmtId="0" fontId="1" fillId="0" borderId="34" xfId="19" applyFont="1" applyFill="1" applyBorder="1" applyAlignment="1">
      <alignment horizontal="center" vertical="center" wrapText="1"/>
      <protection/>
    </xf>
    <xf numFmtId="0" fontId="1" fillId="0" borderId="27" xfId="19" applyFont="1" applyFill="1" applyBorder="1" applyAlignment="1">
      <alignment horizontal="center" vertical="center" wrapText="1"/>
      <protection/>
    </xf>
    <xf numFmtId="0" fontId="1" fillId="0" borderId="31" xfId="19" applyFont="1" applyFill="1" applyBorder="1" applyAlignment="1">
      <alignment horizontal="center" vertical="center" wrapText="1"/>
      <protection/>
    </xf>
    <xf numFmtId="49" fontId="1" fillId="0" borderId="35" xfId="19" applyNumberFormat="1" applyFont="1" applyBorder="1" applyAlignment="1">
      <alignment horizontal="center"/>
      <protection/>
    </xf>
    <xf numFmtId="49" fontId="1" fillId="0" borderId="30" xfId="19" applyNumberFormat="1" applyFont="1" applyBorder="1" applyAlignment="1">
      <alignment horizont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Субвенции на погаш кред. задолж за 2007 год по ЖКХ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38100</xdr:rowOff>
    </xdr:from>
    <xdr:to>
      <xdr:col>2</xdr:col>
      <xdr:colOff>733425</xdr:colOff>
      <xdr:row>9</xdr:row>
      <xdr:rowOff>2047875</xdr:rowOff>
    </xdr:to>
    <xdr:sp>
      <xdr:nvSpPr>
        <xdr:cNvPr id="1" name="Line 1"/>
        <xdr:cNvSpPr>
          <a:spLocks/>
        </xdr:cNvSpPr>
      </xdr:nvSpPr>
      <xdr:spPr>
        <a:xfrm>
          <a:off x="295275" y="2143125"/>
          <a:ext cx="146685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06.2009\&#1055;&#1088;&#1080;&#1083;&#1086;&#1078;&#1077;&#1085;&#1080;&#1103;%20&#1082;%20&#1088;&#1077;&#1096;&#1077;&#1085;&#1080;&#1102;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</sheetNames>
    <sheetDataSet>
      <sheetData sheetId="0">
        <row r="60">
          <cell r="F60">
            <v>4874356.626</v>
          </cell>
        </row>
      </sheetData>
      <sheetData sheetId="1">
        <row r="23">
          <cell r="F23">
            <v>104520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80"/>
  <sheetViews>
    <sheetView zoomScale="75" zoomScaleNormal="75" zoomScaleSheetLayoutView="75" workbookViewId="0" topLeftCell="A1">
      <pane xSplit="2" ySplit="9" topLeftCell="C60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C56" sqref="C56"/>
    </sheetView>
  </sheetViews>
  <sheetFormatPr defaultColWidth="9.00390625" defaultRowHeight="12.75"/>
  <cols>
    <col min="1" max="1" width="12.375" style="90" customWidth="1"/>
    <col min="2" max="2" width="51.375" style="91" customWidth="1"/>
    <col min="3" max="3" width="11.00390625" style="44" customWidth="1"/>
    <col min="4" max="4" width="11.375" style="44" customWidth="1"/>
    <col min="5" max="5" width="10.125" style="44" customWidth="1"/>
    <col min="6" max="6" width="11.375" style="44" customWidth="1"/>
    <col min="7" max="8" width="10.00390625" style="44" bestFit="1" customWidth="1"/>
    <col min="9" max="9" width="9.375" style="44" bestFit="1" customWidth="1"/>
    <col min="10" max="10" width="10.375" style="44" bestFit="1" customWidth="1"/>
    <col min="11" max="11" width="10.00390625" style="44" bestFit="1" customWidth="1"/>
    <col min="12" max="16384" width="9.125" style="44" customWidth="1"/>
  </cols>
  <sheetData>
    <row r="1" spans="2:6" ht="15.75">
      <c r="B1" s="44"/>
      <c r="D1" s="388" t="s">
        <v>297</v>
      </c>
      <c r="E1" s="388"/>
      <c r="F1" s="388"/>
    </row>
    <row r="2" spans="4:6" ht="15.75">
      <c r="D2" s="388" t="s">
        <v>199</v>
      </c>
      <c r="E2" s="388"/>
      <c r="F2" s="388"/>
    </row>
    <row r="3" spans="4:6" ht="15.75">
      <c r="D3" s="388"/>
      <c r="E3" s="388"/>
      <c r="F3" s="388"/>
    </row>
    <row r="4" spans="1:6" ht="15" customHeight="1">
      <c r="A4" s="389" t="s">
        <v>313</v>
      </c>
      <c r="B4" s="389"/>
      <c r="C4" s="389"/>
      <c r="D4" s="389"/>
      <c r="E4" s="389"/>
      <c r="F4" s="389"/>
    </row>
    <row r="5" ht="13.5" thickBot="1">
      <c r="F5" s="3" t="s">
        <v>36</v>
      </c>
    </row>
    <row r="6" ht="12" customHeight="1" hidden="1" thickBot="1"/>
    <row r="7" spans="1:6" ht="13.5" thickBot="1">
      <c r="A7" s="378" t="s">
        <v>298</v>
      </c>
      <c r="B7" s="380" t="s">
        <v>299</v>
      </c>
      <c r="C7" s="375" t="s">
        <v>300</v>
      </c>
      <c r="D7" s="383" t="s">
        <v>101</v>
      </c>
      <c r="E7" s="384"/>
      <c r="F7" s="385" t="s">
        <v>206</v>
      </c>
    </row>
    <row r="8" spans="1:18" ht="45" customHeight="1" thickBot="1">
      <c r="A8" s="379"/>
      <c r="B8" s="374"/>
      <c r="C8" s="387"/>
      <c r="D8" s="92" t="s">
        <v>265</v>
      </c>
      <c r="E8" s="93" t="s">
        <v>301</v>
      </c>
      <c r="F8" s="386"/>
      <c r="G8" s="6"/>
      <c r="R8" s="6"/>
    </row>
    <row r="9" spans="1:6" ht="13.5" thickBot="1">
      <c r="A9" s="94">
        <v>1</v>
      </c>
      <c r="B9" s="95">
        <v>2</v>
      </c>
      <c r="C9" s="96">
        <v>3</v>
      </c>
      <c r="D9" s="96">
        <v>4</v>
      </c>
      <c r="E9" s="96">
        <v>5</v>
      </c>
      <c r="F9" s="96" t="s">
        <v>302</v>
      </c>
    </row>
    <row r="10" spans="1:7" s="98" customFormat="1" ht="13.5" thickBot="1">
      <c r="A10" s="139">
        <v>10000000</v>
      </c>
      <c r="B10" s="140" t="s">
        <v>303</v>
      </c>
      <c r="C10" s="141">
        <f>C11+C17+C19</f>
        <v>1520862.2</v>
      </c>
      <c r="D10" s="141">
        <f>D15+D19</f>
        <v>52200</v>
      </c>
      <c r="E10" s="141" t="s">
        <v>304</v>
      </c>
      <c r="F10" s="142">
        <f>C10+D10</f>
        <v>1573062.2</v>
      </c>
      <c r="G10" s="97"/>
    </row>
    <row r="11" spans="1:6" ht="25.5">
      <c r="A11" s="99">
        <v>11000000</v>
      </c>
      <c r="B11" s="100" t="s">
        <v>8</v>
      </c>
      <c r="C11" s="101">
        <f>C12+C13</f>
        <v>1277795.2</v>
      </c>
      <c r="D11" s="101" t="s">
        <v>304</v>
      </c>
      <c r="E11" s="101" t="s">
        <v>304</v>
      </c>
      <c r="F11" s="102">
        <f>F12+F13</f>
        <v>1277795.2</v>
      </c>
    </row>
    <row r="12" spans="1:7" ht="12.75">
      <c r="A12" s="64">
        <v>11010000</v>
      </c>
      <c r="B12" s="42" t="s">
        <v>9</v>
      </c>
      <c r="C12" s="103">
        <f>1206325.5+17369.7</f>
        <v>1223695.2</v>
      </c>
      <c r="D12" s="43" t="s">
        <v>304</v>
      </c>
      <c r="E12" s="43" t="s">
        <v>304</v>
      </c>
      <c r="F12" s="104">
        <f>C12</f>
        <v>1223695.2</v>
      </c>
      <c r="G12" s="46"/>
    </row>
    <row r="13" spans="1:6" ht="12.75">
      <c r="A13" s="64">
        <v>11020000</v>
      </c>
      <c r="B13" s="42" t="s">
        <v>10</v>
      </c>
      <c r="C13" s="43">
        <f>C14</f>
        <v>54100</v>
      </c>
      <c r="D13" s="43" t="s">
        <v>304</v>
      </c>
      <c r="E13" s="43" t="s">
        <v>304</v>
      </c>
      <c r="F13" s="104">
        <f>C13</f>
        <v>54100</v>
      </c>
    </row>
    <row r="14" spans="1:6" ht="25.5">
      <c r="A14" s="64">
        <v>11020200</v>
      </c>
      <c r="B14" s="42" t="s">
        <v>0</v>
      </c>
      <c r="C14" s="43">
        <f>6500+41500+6100</f>
        <v>54100</v>
      </c>
      <c r="D14" s="43" t="s">
        <v>304</v>
      </c>
      <c r="E14" s="43" t="s">
        <v>304</v>
      </c>
      <c r="F14" s="104">
        <f>C14</f>
        <v>54100</v>
      </c>
    </row>
    <row r="15" spans="1:6" ht="12.75">
      <c r="A15" s="64">
        <v>12000000</v>
      </c>
      <c r="B15" s="42" t="s">
        <v>11</v>
      </c>
      <c r="C15" s="43" t="s">
        <v>304</v>
      </c>
      <c r="D15" s="43">
        <f>D16</f>
        <v>50680</v>
      </c>
      <c r="E15" s="43" t="s">
        <v>304</v>
      </c>
      <c r="F15" s="104">
        <f>F16</f>
        <v>50680</v>
      </c>
    </row>
    <row r="16" spans="1:6" ht="25.5">
      <c r="A16" s="64">
        <v>12020000</v>
      </c>
      <c r="B16" s="42" t="s">
        <v>12</v>
      </c>
      <c r="C16" s="43" t="s">
        <v>304</v>
      </c>
      <c r="D16" s="103">
        <v>50680</v>
      </c>
      <c r="E16" s="43" t="s">
        <v>304</v>
      </c>
      <c r="F16" s="104">
        <f>D16</f>
        <v>50680</v>
      </c>
    </row>
    <row r="17" spans="1:7" ht="16.5" customHeight="1">
      <c r="A17" s="64">
        <v>13000000</v>
      </c>
      <c r="B17" s="42" t="s">
        <v>13</v>
      </c>
      <c r="C17" s="43">
        <f>C18</f>
        <v>183800</v>
      </c>
      <c r="D17" s="43" t="s">
        <v>304</v>
      </c>
      <c r="E17" s="43" t="s">
        <v>304</v>
      </c>
      <c r="F17" s="104">
        <f>F18</f>
        <v>183800</v>
      </c>
      <c r="G17" s="46"/>
    </row>
    <row r="18" spans="1:6" ht="12.75">
      <c r="A18" s="64">
        <v>13050000</v>
      </c>
      <c r="B18" s="42" t="s">
        <v>14</v>
      </c>
      <c r="C18" s="103">
        <f>156000+27800</f>
        <v>183800</v>
      </c>
      <c r="D18" s="43" t="s">
        <v>304</v>
      </c>
      <c r="E18" s="43" t="s">
        <v>304</v>
      </c>
      <c r="F18" s="104">
        <f>C18</f>
        <v>183800</v>
      </c>
    </row>
    <row r="19" spans="1:7" ht="13.5" customHeight="1">
      <c r="A19" s="64">
        <v>14000000</v>
      </c>
      <c r="B19" s="42" t="s">
        <v>15</v>
      </c>
      <c r="C19" s="43">
        <f>C20+C22+C23</f>
        <v>59267</v>
      </c>
      <c r="D19" s="43">
        <f>D24</f>
        <v>1520</v>
      </c>
      <c r="E19" s="43" t="s">
        <v>304</v>
      </c>
      <c r="F19" s="104">
        <f>C19+D19</f>
        <v>60787</v>
      </c>
      <c r="G19" s="46"/>
    </row>
    <row r="20" spans="1:6" ht="12" customHeight="1">
      <c r="A20" s="64">
        <v>14060200</v>
      </c>
      <c r="B20" s="42" t="s">
        <v>16</v>
      </c>
      <c r="C20" s="103">
        <v>22</v>
      </c>
      <c r="D20" s="43" t="s">
        <v>304</v>
      </c>
      <c r="E20" s="43" t="s">
        <v>304</v>
      </c>
      <c r="F20" s="104">
        <f>C20</f>
        <v>22</v>
      </c>
    </row>
    <row r="21" spans="1:6" ht="26.25" hidden="1">
      <c r="A21" s="64">
        <v>14060300</v>
      </c>
      <c r="B21" s="42" t="s">
        <v>17</v>
      </c>
      <c r="C21" s="40"/>
      <c r="D21" s="43" t="s">
        <v>304</v>
      </c>
      <c r="E21" s="43" t="s">
        <v>304</v>
      </c>
      <c r="F21" s="104">
        <f>C21</f>
        <v>0</v>
      </c>
    </row>
    <row r="22" spans="1:6" ht="25.5">
      <c r="A22" s="64" t="s">
        <v>102</v>
      </c>
      <c r="B22" s="42" t="s">
        <v>103</v>
      </c>
      <c r="C22" s="103">
        <v>45</v>
      </c>
      <c r="D22" s="43" t="s">
        <v>304</v>
      </c>
      <c r="E22" s="43" t="s">
        <v>304</v>
      </c>
      <c r="F22" s="104">
        <f>C22</f>
        <v>45</v>
      </c>
    </row>
    <row r="23" spans="1:7" ht="25.5">
      <c r="A23" s="64">
        <v>14061100</v>
      </c>
      <c r="B23" s="42" t="s">
        <v>18</v>
      </c>
      <c r="C23" s="103">
        <v>59200</v>
      </c>
      <c r="D23" s="43" t="s">
        <v>304</v>
      </c>
      <c r="E23" s="43" t="s">
        <v>304</v>
      </c>
      <c r="F23" s="104">
        <f>C23</f>
        <v>59200</v>
      </c>
      <c r="G23" s="46"/>
    </row>
    <row r="24" spans="1:6" ht="25.5">
      <c r="A24" s="64">
        <v>14070000</v>
      </c>
      <c r="B24" s="42" t="s">
        <v>19</v>
      </c>
      <c r="C24" s="43" t="s">
        <v>304</v>
      </c>
      <c r="D24" s="43">
        <f>D25</f>
        <v>1520</v>
      </c>
      <c r="E24" s="43" t="s">
        <v>304</v>
      </c>
      <c r="F24" s="104">
        <f>F25</f>
        <v>1520</v>
      </c>
    </row>
    <row r="25" spans="1:6" ht="39" customHeight="1">
      <c r="A25" s="64">
        <v>14071500</v>
      </c>
      <c r="B25" s="42" t="s">
        <v>20</v>
      </c>
      <c r="C25" s="43" t="s">
        <v>304</v>
      </c>
      <c r="D25" s="103">
        <v>1520</v>
      </c>
      <c r="E25" s="43" t="s">
        <v>304</v>
      </c>
      <c r="F25" s="104">
        <f>D25</f>
        <v>1520</v>
      </c>
    </row>
    <row r="26" spans="1:7" s="98" customFormat="1" ht="12.75">
      <c r="A26" s="63">
        <v>20000000</v>
      </c>
      <c r="B26" s="105" t="s">
        <v>21</v>
      </c>
      <c r="C26" s="106">
        <f>C27+C30+C32</f>
        <v>23797.8</v>
      </c>
      <c r="D26" s="106">
        <f>D27+D32+D37</f>
        <v>70753.70000000001</v>
      </c>
      <c r="E26" s="106" t="s">
        <v>304</v>
      </c>
      <c r="F26" s="107">
        <f>C26+D26</f>
        <v>94551.50000000001</v>
      </c>
      <c r="G26" s="112"/>
    </row>
    <row r="27" spans="1:7" ht="25.5">
      <c r="A27" s="64">
        <v>21000000</v>
      </c>
      <c r="B27" s="42" t="s">
        <v>22</v>
      </c>
      <c r="C27" s="43">
        <f>C28</f>
        <v>17370</v>
      </c>
      <c r="D27" s="43">
        <f>D29</f>
        <v>1862.6</v>
      </c>
      <c r="E27" s="43" t="s">
        <v>304</v>
      </c>
      <c r="F27" s="104">
        <f>C27</f>
        <v>17370</v>
      </c>
      <c r="G27" s="46"/>
    </row>
    <row r="28" spans="1:6" ht="26.25" customHeight="1">
      <c r="A28" s="64">
        <v>21040000</v>
      </c>
      <c r="B28" s="42" t="s">
        <v>450</v>
      </c>
      <c r="C28" s="43">
        <f>5930+4140+7300</f>
        <v>17370</v>
      </c>
      <c r="D28" s="43" t="s">
        <v>304</v>
      </c>
      <c r="E28" s="43" t="s">
        <v>304</v>
      </c>
      <c r="F28" s="104">
        <f>C28</f>
        <v>17370</v>
      </c>
    </row>
    <row r="29" spans="1:6" ht="25.5">
      <c r="A29" s="64">
        <v>21110000</v>
      </c>
      <c r="B29" s="42" t="s">
        <v>23</v>
      </c>
      <c r="C29" s="43" t="s">
        <v>304</v>
      </c>
      <c r="D29" s="43">
        <v>1862.6</v>
      </c>
      <c r="E29" s="43" t="s">
        <v>304</v>
      </c>
      <c r="F29" s="104">
        <f>D29</f>
        <v>1862.6</v>
      </c>
    </row>
    <row r="30" spans="1:8" ht="25.5">
      <c r="A30" s="64">
        <v>22000000</v>
      </c>
      <c r="B30" s="42" t="s">
        <v>24</v>
      </c>
      <c r="C30" s="43">
        <f>C31</f>
        <v>5417.8</v>
      </c>
      <c r="D30" s="43" t="s">
        <v>304</v>
      </c>
      <c r="E30" s="43" t="s">
        <v>304</v>
      </c>
      <c r="F30" s="104">
        <f>C30</f>
        <v>5417.8</v>
      </c>
      <c r="G30" s="46"/>
      <c r="H30" s="46"/>
    </row>
    <row r="31" spans="1:6" ht="24.75" customHeight="1">
      <c r="A31" s="64">
        <v>22080000</v>
      </c>
      <c r="B31" s="108" t="s">
        <v>451</v>
      </c>
      <c r="C31" s="103">
        <v>5417.8</v>
      </c>
      <c r="D31" s="43" t="s">
        <v>304</v>
      </c>
      <c r="E31" s="43" t="s">
        <v>304</v>
      </c>
      <c r="F31" s="104">
        <f>C31</f>
        <v>5417.8</v>
      </c>
    </row>
    <row r="32" spans="1:7" ht="12.75">
      <c r="A32" s="64">
        <v>24000000</v>
      </c>
      <c r="B32" s="42" t="s">
        <v>25</v>
      </c>
      <c r="C32" s="103">
        <f>C35</f>
        <v>1010</v>
      </c>
      <c r="D32" s="43">
        <f>D36</f>
        <v>166</v>
      </c>
      <c r="E32" s="43" t="s">
        <v>304</v>
      </c>
      <c r="F32" s="104">
        <f>C32+D32</f>
        <v>1176</v>
      </c>
      <c r="G32" s="46"/>
    </row>
    <row r="33" spans="1:6" ht="12.75" hidden="1">
      <c r="A33" s="64"/>
      <c r="B33" s="42"/>
      <c r="C33" s="43">
        <v>0</v>
      </c>
      <c r="D33" s="43" t="s">
        <v>304</v>
      </c>
      <c r="E33" s="43" t="s">
        <v>304</v>
      </c>
      <c r="F33" s="104">
        <v>0</v>
      </c>
    </row>
    <row r="34" spans="1:6" ht="38.25" hidden="1">
      <c r="A34" s="64">
        <v>24030000</v>
      </c>
      <c r="B34" s="42" t="s">
        <v>34</v>
      </c>
      <c r="C34" s="109" t="s">
        <v>304</v>
      </c>
      <c r="D34" s="109" t="s">
        <v>304</v>
      </c>
      <c r="E34" s="109" t="s">
        <v>304</v>
      </c>
      <c r="F34" s="110" t="s">
        <v>304</v>
      </c>
    </row>
    <row r="35" spans="1:6" ht="12.75">
      <c r="A35" s="64">
        <v>24060300</v>
      </c>
      <c r="B35" s="42" t="s">
        <v>26</v>
      </c>
      <c r="C35" s="43">
        <v>1010</v>
      </c>
      <c r="D35" s="43" t="s">
        <v>304</v>
      </c>
      <c r="E35" s="43" t="s">
        <v>304</v>
      </c>
      <c r="F35" s="104">
        <f>C35</f>
        <v>1010</v>
      </c>
    </row>
    <row r="36" spans="1:6" ht="24" customHeight="1">
      <c r="A36" s="64" t="s">
        <v>104</v>
      </c>
      <c r="B36" s="108" t="s">
        <v>105</v>
      </c>
      <c r="C36" s="43" t="s">
        <v>304</v>
      </c>
      <c r="D36" s="43">
        <f>130+36</f>
        <v>166</v>
      </c>
      <c r="E36" s="103" t="s">
        <v>304</v>
      </c>
      <c r="F36" s="104">
        <f>D36</f>
        <v>166</v>
      </c>
    </row>
    <row r="37" spans="1:7" ht="12.75">
      <c r="A37" s="64">
        <v>25000000</v>
      </c>
      <c r="B37" s="42" t="s">
        <v>27</v>
      </c>
      <c r="C37" s="43" t="s">
        <v>304</v>
      </c>
      <c r="D37" s="43">
        <v>68725.1</v>
      </c>
      <c r="E37" s="43" t="s">
        <v>304</v>
      </c>
      <c r="F37" s="104">
        <f>D37</f>
        <v>68725.1</v>
      </c>
      <c r="G37" s="46"/>
    </row>
    <row r="38" spans="1:7" s="98" customFormat="1" ht="38.25">
      <c r="A38" s="64">
        <v>31030000</v>
      </c>
      <c r="B38" s="42" t="s">
        <v>28</v>
      </c>
      <c r="C38" s="43" t="s">
        <v>304</v>
      </c>
      <c r="D38" s="103">
        <f>22723.4-21023.4+835</f>
        <v>2535</v>
      </c>
      <c r="E38" s="103">
        <f>D38</f>
        <v>2535</v>
      </c>
      <c r="F38" s="104">
        <f>D38</f>
        <v>2535</v>
      </c>
      <c r="G38" s="112"/>
    </row>
    <row r="39" spans="1:7" ht="12.75">
      <c r="A39" s="64">
        <v>50080000</v>
      </c>
      <c r="B39" s="42" t="s">
        <v>29</v>
      </c>
      <c r="C39" s="43" t="s">
        <v>304</v>
      </c>
      <c r="D39" s="103">
        <v>106400</v>
      </c>
      <c r="E39" s="43" t="s">
        <v>304</v>
      </c>
      <c r="F39" s="104">
        <f>D39</f>
        <v>106400</v>
      </c>
      <c r="G39" s="46"/>
    </row>
    <row r="40" spans="1:8" s="98" customFormat="1" ht="12.75">
      <c r="A40" s="381" t="s">
        <v>30</v>
      </c>
      <c r="B40" s="382"/>
      <c r="C40" s="111">
        <f>C10+C26</f>
        <v>1544660</v>
      </c>
      <c r="D40" s="111">
        <f>D10+D26+D38+D39</f>
        <v>231888.7</v>
      </c>
      <c r="E40" s="106">
        <f>E38</f>
        <v>2535</v>
      </c>
      <c r="F40" s="107">
        <f>C40+D40</f>
        <v>1776548.7</v>
      </c>
      <c r="H40" s="112"/>
    </row>
    <row r="41" spans="1:6" s="98" customFormat="1" ht="12.75">
      <c r="A41" s="63"/>
      <c r="B41" s="105"/>
      <c r="C41" s="111"/>
      <c r="D41" s="111"/>
      <c r="E41" s="106"/>
      <c r="F41" s="107"/>
    </row>
    <row r="42" spans="1:6" ht="12.75">
      <c r="A42" s="63">
        <v>40000000</v>
      </c>
      <c r="B42" s="105" t="s">
        <v>31</v>
      </c>
      <c r="C42" s="106">
        <f>C43+C44+C46+C45</f>
        <v>2327834.9349999996</v>
      </c>
      <c r="D42" s="106">
        <f>D46+D60</f>
        <v>1080960.2</v>
      </c>
      <c r="E42" s="106">
        <f>E46+E60</f>
        <v>379788.60000000003</v>
      </c>
      <c r="F42" s="107">
        <f>C42+D42</f>
        <v>3408795.135</v>
      </c>
    </row>
    <row r="43" spans="1:6" ht="12.75">
      <c r="A43" s="64" t="s">
        <v>1</v>
      </c>
      <c r="B43" s="42" t="s">
        <v>81</v>
      </c>
      <c r="C43" s="43">
        <v>306195.9</v>
      </c>
      <c r="D43" s="43" t="s">
        <v>304</v>
      </c>
      <c r="E43" s="43" t="s">
        <v>304</v>
      </c>
      <c r="F43" s="104">
        <f>C43</f>
        <v>306195.9</v>
      </c>
    </row>
    <row r="44" spans="1:8" ht="26.25" customHeight="1">
      <c r="A44" s="64" t="s">
        <v>266</v>
      </c>
      <c r="B44" s="42" t="s">
        <v>78</v>
      </c>
      <c r="C44" s="43">
        <f>61927.5+116601.7</f>
        <v>178529.2</v>
      </c>
      <c r="D44" s="43" t="s">
        <v>304</v>
      </c>
      <c r="E44" s="43" t="s">
        <v>304</v>
      </c>
      <c r="F44" s="104">
        <f>C44</f>
        <v>178529.2</v>
      </c>
      <c r="H44" s="46"/>
    </row>
    <row r="45" spans="1:6" ht="26.25" customHeight="1">
      <c r="A45" s="64" t="s">
        <v>415</v>
      </c>
      <c r="B45" s="42" t="s">
        <v>416</v>
      </c>
      <c r="C45" s="43">
        <v>13230.2</v>
      </c>
      <c r="D45" s="43"/>
      <c r="E45" s="43"/>
      <c r="F45" s="104">
        <f>C45</f>
        <v>13230.2</v>
      </c>
    </row>
    <row r="46" spans="1:8" ht="14.25" customHeight="1">
      <c r="A46" s="63">
        <v>41030000</v>
      </c>
      <c r="B46" s="105" t="s">
        <v>32</v>
      </c>
      <c r="C46" s="106">
        <f>C48+C49+C50+C51+C52+C55+C56+C58+C47+C54+C59</f>
        <v>1829879.6349999995</v>
      </c>
      <c r="D46" s="106">
        <f>D48+D49+D50+D51+D55+D53+D52+D56+D57+D54</f>
        <v>684543.3999999999</v>
      </c>
      <c r="E46" s="106">
        <f>E48+E49+E50+E51+E55+E53+E52+E56</f>
        <v>0</v>
      </c>
      <c r="F46" s="107">
        <f aca="true" t="shared" si="0" ref="F46:F52">C46+D46</f>
        <v>2514423.034999999</v>
      </c>
      <c r="G46" s="46">
        <f>F46-F47-F54</f>
        <v>2507481.2349999994</v>
      </c>
      <c r="H46" s="46" t="s">
        <v>377</v>
      </c>
    </row>
    <row r="47" spans="1:8" ht="38.25">
      <c r="A47" s="145" t="s">
        <v>342</v>
      </c>
      <c r="B47" s="42" t="s">
        <v>343</v>
      </c>
      <c r="C47" s="146">
        <f>702.4+2975.8+1500+50+195.6-6.4</f>
        <v>5417.4000000000015</v>
      </c>
      <c r="D47" s="146"/>
      <c r="E47" s="146"/>
      <c r="F47" s="147">
        <f t="shared" si="0"/>
        <v>5417.4000000000015</v>
      </c>
      <c r="G47" s="46"/>
      <c r="H47" s="46"/>
    </row>
    <row r="48" spans="1:7" ht="52.5" customHeight="1">
      <c r="A48" s="64" t="s">
        <v>106</v>
      </c>
      <c r="B48" s="68" t="s">
        <v>2</v>
      </c>
      <c r="C48" s="43">
        <f>1319445.9+49848.9+8285.9</f>
        <v>1377580.6999999997</v>
      </c>
      <c r="D48" s="43"/>
      <c r="E48" s="43"/>
      <c r="F48" s="104">
        <f t="shared" si="0"/>
        <v>1377580.6999999997</v>
      </c>
      <c r="G48" s="168"/>
    </row>
    <row r="49" spans="1:10" ht="67.5" customHeight="1">
      <c r="A49" s="116" t="s">
        <v>107</v>
      </c>
      <c r="B49" s="143" t="s">
        <v>82</v>
      </c>
      <c r="C49" s="137">
        <f>279217.8-94166.7</f>
        <v>185051.09999999998</v>
      </c>
      <c r="D49" s="43">
        <v>431291.4</v>
      </c>
      <c r="E49" s="43"/>
      <c r="F49" s="104">
        <f t="shared" si="0"/>
        <v>616342.5</v>
      </c>
      <c r="J49" s="149"/>
    </row>
    <row r="50" spans="1:6" ht="120" customHeight="1">
      <c r="A50" s="64" t="s">
        <v>108</v>
      </c>
      <c r="B50" s="65" t="s">
        <v>274</v>
      </c>
      <c r="C50" s="43">
        <f>147643.8+47879.6</f>
        <v>195523.4</v>
      </c>
      <c r="D50" s="43"/>
      <c r="E50" s="43"/>
      <c r="F50" s="104">
        <f t="shared" si="0"/>
        <v>195523.4</v>
      </c>
    </row>
    <row r="51" spans="1:6" ht="51">
      <c r="A51" s="116" t="s">
        <v>109</v>
      </c>
      <c r="B51" s="143" t="s">
        <v>83</v>
      </c>
      <c r="C51" s="137">
        <f>31741.9-8500</f>
        <v>23241.9</v>
      </c>
      <c r="D51" s="43"/>
      <c r="E51" s="43"/>
      <c r="F51" s="104">
        <f t="shared" si="0"/>
        <v>23241.9</v>
      </c>
    </row>
    <row r="52" spans="1:6" ht="78.75" customHeight="1">
      <c r="A52" s="145" t="s">
        <v>85</v>
      </c>
      <c r="B52" s="148" t="s">
        <v>87</v>
      </c>
      <c r="C52" s="146">
        <v>29759.4</v>
      </c>
      <c r="D52" s="146"/>
      <c r="E52" s="146"/>
      <c r="F52" s="147">
        <f t="shared" si="0"/>
        <v>29759.4</v>
      </c>
    </row>
    <row r="53" spans="1:8" ht="120" customHeight="1">
      <c r="A53" s="145" t="s">
        <v>84</v>
      </c>
      <c r="B53" s="160" t="s">
        <v>269</v>
      </c>
      <c r="C53" s="146" t="s">
        <v>304</v>
      </c>
      <c r="D53" s="146">
        <v>7721.8</v>
      </c>
      <c r="E53" s="146"/>
      <c r="F53" s="147">
        <f>D53</f>
        <v>7721.8</v>
      </c>
      <c r="G53" s="150"/>
      <c r="H53" s="150"/>
    </row>
    <row r="54" spans="1:8" ht="12.75">
      <c r="A54" s="145" t="s">
        <v>344</v>
      </c>
      <c r="B54" s="160" t="s">
        <v>35</v>
      </c>
      <c r="C54" s="146">
        <f>124.7+270+500+64.5+21.7+12+1.3</f>
        <v>994.2</v>
      </c>
      <c r="D54" s="146">
        <f>241.4+173.4+11.3+78.8+25.3</f>
        <v>530.2</v>
      </c>
      <c r="E54" s="146"/>
      <c r="F54" s="147">
        <f>C54+D54</f>
        <v>1524.4</v>
      </c>
      <c r="G54" s="365">
        <f>F54-500</f>
        <v>1024.4</v>
      </c>
      <c r="H54" s="150"/>
    </row>
    <row r="55" spans="1:8" ht="81" customHeight="1">
      <c r="A55" s="145" t="s">
        <v>270</v>
      </c>
      <c r="B55" s="65" t="s">
        <v>271</v>
      </c>
      <c r="C55" s="146">
        <f>8611.6+166.026+256.309-500</f>
        <v>8533.935</v>
      </c>
      <c r="D55" s="146"/>
      <c r="E55" s="146"/>
      <c r="F55" s="147">
        <f>C55+D55</f>
        <v>8533.935</v>
      </c>
      <c r="G55" s="46"/>
      <c r="H55" s="46"/>
    </row>
    <row r="56" spans="1:8" ht="57.75" customHeight="1">
      <c r="A56" s="145" t="s">
        <v>69</v>
      </c>
      <c r="B56" s="65" t="s">
        <v>70</v>
      </c>
      <c r="C56" s="146">
        <v>300</v>
      </c>
      <c r="D56" s="146"/>
      <c r="E56" s="146"/>
      <c r="F56" s="147">
        <f>C56+D56</f>
        <v>300</v>
      </c>
      <c r="G56" s="46"/>
      <c r="H56" s="46"/>
    </row>
    <row r="57" spans="1:8" ht="120.75" customHeight="1">
      <c r="A57" s="145" t="s">
        <v>307</v>
      </c>
      <c r="B57" s="65" t="s">
        <v>405</v>
      </c>
      <c r="C57" s="146"/>
      <c r="D57" s="146">
        <f>61249.8+183750.2</f>
        <v>245000</v>
      </c>
      <c r="E57" s="146"/>
      <c r="F57" s="147">
        <f>D57</f>
        <v>245000</v>
      </c>
      <c r="G57" s="46"/>
      <c r="H57" s="46"/>
    </row>
    <row r="58" spans="1:8" ht="39.75" customHeight="1">
      <c r="A58" s="145" t="s">
        <v>337</v>
      </c>
      <c r="B58" s="65" t="s">
        <v>338</v>
      </c>
      <c r="C58" s="146">
        <f>236.1+42+18.3+20.1+28.5+91.4+41.2</f>
        <v>477.6000000000001</v>
      </c>
      <c r="D58" s="146"/>
      <c r="E58" s="146"/>
      <c r="F58" s="147">
        <f>C58+D58</f>
        <v>477.6000000000001</v>
      </c>
      <c r="G58" s="46"/>
      <c r="H58" s="46"/>
    </row>
    <row r="59" spans="1:8" ht="51">
      <c r="A59" s="348" t="s">
        <v>417</v>
      </c>
      <c r="B59" s="65" t="s">
        <v>409</v>
      </c>
      <c r="C59" s="146">
        <v>3000</v>
      </c>
      <c r="D59" s="146"/>
      <c r="E59" s="146"/>
      <c r="F59" s="147">
        <f>C59+D59</f>
        <v>3000</v>
      </c>
      <c r="G59" s="46"/>
      <c r="H59" s="46"/>
    </row>
    <row r="60" spans="1:8" ht="18" customHeight="1" thickBot="1">
      <c r="A60" s="190" t="s">
        <v>6</v>
      </c>
      <c r="B60" s="191" t="s">
        <v>335</v>
      </c>
      <c r="C60" s="193"/>
      <c r="D60" s="192">
        <f>60732-17000+270+26507.9+25000-98.6+5000+6719+15000+20000+21023.4+100000+15000+1314+133.2+112479.7-150+2486.2+1000+2000-1000</f>
        <v>396416.8</v>
      </c>
      <c r="E60" s="192">
        <f>27005.2+270+26507.9+25000+5000+6719+15000+20000+21023.4+100000+15000+1314+133.2+112479.7-150+2486.2+1000+2000-1000</f>
        <v>379788.60000000003</v>
      </c>
      <c r="F60" s="236">
        <f>D60</f>
        <v>396416.8</v>
      </c>
      <c r="G60" s="150"/>
      <c r="H60" s="150"/>
    </row>
    <row r="61" spans="1:11" s="98" customFormat="1" ht="13.5" thickBot="1">
      <c r="A61" s="376" t="s">
        <v>33</v>
      </c>
      <c r="B61" s="377"/>
      <c r="C61" s="193">
        <f>C40+C42</f>
        <v>3872494.9349999996</v>
      </c>
      <c r="D61" s="151">
        <f>D40+D42</f>
        <v>1312848.9</v>
      </c>
      <c r="E61" s="151">
        <f>E42+E40</f>
        <v>382323.60000000003</v>
      </c>
      <c r="F61" s="152">
        <f>C61+D61</f>
        <v>5185343.834999999</v>
      </c>
      <c r="H61" s="112"/>
      <c r="K61" s="169"/>
    </row>
    <row r="62" spans="2:10" ht="12.75">
      <c r="B62" s="153"/>
      <c r="C62" s="154">
        <f>C61-'№2'!C104</f>
        <v>-294509.37399999984</v>
      </c>
      <c r="D62" s="154">
        <f>D61-'№2'!H104</f>
        <v>0</v>
      </c>
      <c r="E62" s="155">
        <f>E61-'№2'!I104</f>
        <v>0</v>
      </c>
      <c r="F62" s="154">
        <f>F61-'№2'!K104</f>
        <v>-294509.37400000077</v>
      </c>
      <c r="G62" s="155" t="s">
        <v>340</v>
      </c>
      <c r="H62" s="155"/>
      <c r="J62" s="46"/>
    </row>
    <row r="63" spans="2:10" ht="12.75">
      <c r="B63" s="153"/>
      <c r="C63" s="154"/>
      <c r="D63" s="154"/>
      <c r="E63" s="154"/>
      <c r="F63" s="154"/>
      <c r="G63" s="155"/>
      <c r="H63" s="156"/>
      <c r="J63" s="46"/>
    </row>
    <row r="64" spans="2:10" ht="12.75">
      <c r="B64" s="153"/>
      <c r="C64" s="154"/>
      <c r="D64" s="154"/>
      <c r="E64" s="154"/>
      <c r="F64" s="154"/>
      <c r="G64" s="155"/>
      <c r="H64" s="156"/>
      <c r="J64" s="46"/>
    </row>
    <row r="65" spans="2:10" ht="12.75">
      <c r="B65" s="153"/>
      <c r="C65" s="154"/>
      <c r="D65" s="154"/>
      <c r="E65" s="154"/>
      <c r="F65" s="154"/>
      <c r="G65" s="155">
        <f>F61-'[1]№1'!$F$60</f>
        <v>310987.20899999887</v>
      </c>
      <c r="H65" s="156"/>
      <c r="I65" s="44">
        <v>185636.7</v>
      </c>
      <c r="J65" s="46">
        <f>G65-I65</f>
        <v>125350.50899999886</v>
      </c>
    </row>
    <row r="66" spans="2:8" ht="12.75">
      <c r="B66" s="153"/>
      <c r="C66" s="157"/>
      <c r="D66" s="157"/>
      <c r="E66" s="157"/>
      <c r="F66" s="157"/>
      <c r="G66" s="155"/>
      <c r="H66" s="156"/>
    </row>
    <row r="67" spans="2:8" ht="12.75">
      <c r="B67" s="153"/>
      <c r="C67" s="157"/>
      <c r="D67" s="157"/>
      <c r="E67" s="157"/>
      <c r="F67" s="157"/>
      <c r="G67" s="155"/>
      <c r="H67" s="156"/>
    </row>
    <row r="68" spans="2:8" ht="12.75">
      <c r="B68" s="153"/>
      <c r="C68" s="157"/>
      <c r="D68" s="157"/>
      <c r="E68" s="157"/>
      <c r="F68" s="157"/>
      <c r="G68" s="155"/>
      <c r="H68" s="156"/>
    </row>
    <row r="69" spans="2:8" ht="12.75">
      <c r="B69" s="153"/>
      <c r="C69" s="157"/>
      <c r="D69" s="157"/>
      <c r="E69" s="157"/>
      <c r="F69" s="157"/>
      <c r="G69" s="156"/>
      <c r="H69" s="156"/>
    </row>
    <row r="70" spans="2:8" ht="12.75">
      <c r="B70" s="158"/>
      <c r="C70" s="157"/>
      <c r="D70" s="157"/>
      <c r="E70" s="157"/>
      <c r="F70" s="157"/>
      <c r="G70" s="156"/>
      <c r="H70" s="156"/>
    </row>
    <row r="71" spans="2:8" ht="12">
      <c r="B71" s="158"/>
      <c r="C71" s="156"/>
      <c r="D71" s="156"/>
      <c r="E71" s="156"/>
      <c r="F71" s="156"/>
      <c r="G71" s="156"/>
      <c r="H71" s="156"/>
    </row>
    <row r="72" spans="2:8" ht="12">
      <c r="B72" s="159"/>
      <c r="C72" s="155"/>
      <c r="D72" s="156"/>
      <c r="E72" s="156"/>
      <c r="F72" s="155"/>
      <c r="G72" s="156"/>
      <c r="H72" s="156"/>
    </row>
    <row r="73" spans="2:8" ht="12">
      <c r="B73" s="158"/>
      <c r="C73" s="156"/>
      <c r="D73" s="156"/>
      <c r="E73" s="156"/>
      <c r="F73" s="156"/>
      <c r="G73" s="156"/>
      <c r="H73" s="156"/>
    </row>
    <row r="74" spans="2:8" ht="12">
      <c r="B74" s="158"/>
      <c r="C74" s="155"/>
      <c r="D74" s="156"/>
      <c r="E74" s="156"/>
      <c r="F74" s="156"/>
      <c r="G74" s="156"/>
      <c r="H74" s="170"/>
    </row>
    <row r="75" spans="2:8" ht="12">
      <c r="B75" s="158"/>
      <c r="C75" s="156"/>
      <c r="D75" s="156"/>
      <c r="E75" s="156"/>
      <c r="F75" s="156"/>
      <c r="G75" s="156"/>
      <c r="H75" s="170"/>
    </row>
    <row r="76" spans="2:8" ht="12">
      <c r="B76" s="158"/>
      <c r="C76" s="156"/>
      <c r="D76" s="156"/>
      <c r="E76" s="156"/>
      <c r="F76" s="156"/>
      <c r="G76" s="156"/>
      <c r="H76" s="170"/>
    </row>
    <row r="77" spans="2:8" ht="12">
      <c r="B77" s="158"/>
      <c r="C77" s="156"/>
      <c r="D77" s="156"/>
      <c r="E77" s="156"/>
      <c r="F77" s="156"/>
      <c r="G77" s="156"/>
      <c r="H77" s="170"/>
    </row>
    <row r="78" spans="2:8" ht="12">
      <c r="B78" s="158"/>
      <c r="C78" s="156"/>
      <c r="D78" s="156"/>
      <c r="E78" s="156"/>
      <c r="F78" s="156"/>
      <c r="G78" s="156"/>
      <c r="H78" s="156"/>
    </row>
    <row r="79" spans="2:8" ht="12">
      <c r="B79" s="158"/>
      <c r="C79" s="156"/>
      <c r="D79" s="156"/>
      <c r="E79" s="156"/>
      <c r="F79" s="156"/>
      <c r="G79" s="156"/>
      <c r="H79" s="156"/>
    </row>
    <row r="80" ht="12">
      <c r="D80" s="46"/>
    </row>
  </sheetData>
  <mergeCells count="11">
    <mergeCell ref="D1:F1"/>
    <mergeCell ref="D2:F2"/>
    <mergeCell ref="D3:F3"/>
    <mergeCell ref="A4:F4"/>
    <mergeCell ref="D7:E7"/>
    <mergeCell ref="F7:F8"/>
    <mergeCell ref="A40:B40"/>
    <mergeCell ref="A61:B61"/>
    <mergeCell ref="A7:A8"/>
    <mergeCell ref="B7:B8"/>
    <mergeCell ref="C7:C8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92"/>
  <sheetViews>
    <sheetView tabSelected="1" zoomScale="75" zoomScaleNormal="75" zoomScaleSheetLayoutView="100" workbookViewId="0" topLeftCell="A4">
      <pane xSplit="2" ySplit="9" topLeftCell="C103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F98" sqref="F98"/>
    </sheetView>
  </sheetViews>
  <sheetFormatPr defaultColWidth="9.00390625" defaultRowHeight="12.75"/>
  <cols>
    <col min="1" max="1" width="7.375" style="54" customWidth="1"/>
    <col min="2" max="2" width="47.625" style="2" customWidth="1"/>
    <col min="3" max="3" width="10.625" style="3" customWidth="1"/>
    <col min="4" max="4" width="10.00390625" style="3" customWidth="1"/>
    <col min="5" max="5" width="9.375" style="3" customWidth="1"/>
    <col min="6" max="8" width="10.375" style="3" customWidth="1"/>
    <col min="9" max="9" width="8.875" style="3" customWidth="1"/>
    <col min="10" max="10" width="9.875" style="3" hidden="1" customWidth="1"/>
    <col min="11" max="11" width="10.75390625" style="3" customWidth="1"/>
    <col min="12" max="12" width="10.625" style="3" customWidth="1"/>
    <col min="13" max="13" width="13.875" style="3" customWidth="1"/>
    <col min="14" max="14" width="14.00390625" style="3" customWidth="1"/>
    <col min="15" max="16384" width="8.875" style="3" customWidth="1"/>
  </cols>
  <sheetData>
    <row r="1" spans="6:10" ht="15" customHeight="1">
      <c r="F1" s="388" t="s">
        <v>198</v>
      </c>
      <c r="G1" s="388"/>
      <c r="H1" s="388"/>
      <c r="I1" s="388"/>
      <c r="J1" s="4"/>
    </row>
    <row r="2" spans="6:10" ht="13.5" customHeight="1">
      <c r="F2" s="388" t="s">
        <v>199</v>
      </c>
      <c r="G2" s="388"/>
      <c r="H2" s="388"/>
      <c r="I2" s="388"/>
      <c r="J2" s="5"/>
    </row>
    <row r="3" spans="6:10" ht="13.5" customHeight="1">
      <c r="F3" s="388"/>
      <c r="G3" s="388"/>
      <c r="H3" s="388"/>
      <c r="I3" s="388"/>
      <c r="J3" s="188"/>
    </row>
    <row r="5" spans="2:8" ht="13.5" customHeight="1">
      <c r="B5" s="1"/>
      <c r="C5" s="6"/>
      <c r="D5" s="6"/>
      <c r="E5" s="6"/>
      <c r="F5" s="6"/>
      <c r="G5" s="6"/>
      <c r="H5" s="6"/>
    </row>
    <row r="6" spans="1:11" ht="15.75">
      <c r="A6" s="392" t="s">
        <v>312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1:12" ht="15" customHeight="1">
      <c r="A7" s="392" t="s">
        <v>200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7"/>
    </row>
    <row r="8" spans="6:12" ht="13.5" thickBot="1">
      <c r="F8" s="8"/>
      <c r="G8" s="8"/>
      <c r="I8" s="9"/>
      <c r="J8" s="10"/>
      <c r="K8" s="3" t="s">
        <v>36</v>
      </c>
      <c r="L8" s="7"/>
    </row>
    <row r="9" spans="1:12" ht="25.5" customHeight="1" thickBot="1">
      <c r="A9" s="393" t="s">
        <v>201</v>
      </c>
      <c r="B9" s="396" t="s">
        <v>202</v>
      </c>
      <c r="C9" s="410" t="s">
        <v>203</v>
      </c>
      <c r="D9" s="411"/>
      <c r="E9" s="411"/>
      <c r="F9" s="411"/>
      <c r="G9" s="412"/>
      <c r="H9" s="398" t="s">
        <v>204</v>
      </c>
      <c r="I9" s="399"/>
      <c r="J9" s="400"/>
      <c r="K9" s="396" t="s">
        <v>205</v>
      </c>
      <c r="L9" s="11"/>
    </row>
    <row r="10" spans="1:12" ht="24" customHeight="1" thickBot="1">
      <c r="A10" s="394"/>
      <c r="B10" s="397"/>
      <c r="C10" s="402" t="s">
        <v>206</v>
      </c>
      <c r="D10" s="402" t="s">
        <v>207</v>
      </c>
      <c r="E10" s="413"/>
      <c r="F10" s="413"/>
      <c r="G10" s="414"/>
      <c r="H10" s="403" t="s">
        <v>206</v>
      </c>
      <c r="I10" s="12" t="s">
        <v>208</v>
      </c>
      <c r="J10" s="404" t="s">
        <v>209</v>
      </c>
      <c r="K10" s="397"/>
      <c r="L10" s="11"/>
    </row>
    <row r="11" spans="1:18" ht="110.25" customHeight="1" thickBot="1">
      <c r="A11" s="395"/>
      <c r="B11" s="397"/>
      <c r="C11" s="403"/>
      <c r="D11" s="167" t="s">
        <v>210</v>
      </c>
      <c r="E11" s="13" t="s">
        <v>211</v>
      </c>
      <c r="F11" s="13" t="s">
        <v>212</v>
      </c>
      <c r="G11" s="13" t="s">
        <v>345</v>
      </c>
      <c r="H11" s="403"/>
      <c r="I11" s="13" t="s">
        <v>213</v>
      </c>
      <c r="J11" s="405"/>
      <c r="K11" s="401"/>
      <c r="L11" s="11"/>
      <c r="R11" s="3" t="s">
        <v>252</v>
      </c>
    </row>
    <row r="12" spans="1:12" ht="14.25" customHeight="1" thickBot="1">
      <c r="A12" s="55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10</v>
      </c>
      <c r="L12" s="7"/>
    </row>
    <row r="13" spans="1:13" s="16" customFormat="1" ht="15.75" customHeight="1">
      <c r="A13" s="120" t="s">
        <v>214</v>
      </c>
      <c r="B13" s="121" t="s">
        <v>215</v>
      </c>
      <c r="C13" s="76">
        <f aca="true" t="shared" si="0" ref="C13:J13">C14</f>
        <v>15027.900000000001</v>
      </c>
      <c r="D13" s="76">
        <f>D14</f>
        <v>3268.9</v>
      </c>
      <c r="E13" s="76">
        <f t="shared" si="0"/>
        <v>2947.8</v>
      </c>
      <c r="F13" s="76">
        <f t="shared" si="0"/>
        <v>8811.2</v>
      </c>
      <c r="G13" s="76"/>
      <c r="H13" s="76">
        <f t="shared" si="0"/>
        <v>150</v>
      </c>
      <c r="I13" s="131">
        <f t="shared" si="0"/>
        <v>0</v>
      </c>
      <c r="J13" s="131">
        <f t="shared" si="0"/>
        <v>0</v>
      </c>
      <c r="K13" s="77">
        <f>C13+H13</f>
        <v>15177.900000000001</v>
      </c>
      <c r="L13" s="171"/>
      <c r="M13" s="23">
        <f>L13-K13</f>
        <v>-15177.900000000001</v>
      </c>
    </row>
    <row r="14" spans="1:13" ht="12.75">
      <c r="A14" s="118" t="s">
        <v>216</v>
      </c>
      <c r="B14" s="119" t="s">
        <v>217</v>
      </c>
      <c r="C14" s="113">
        <f>D14+E14+F14</f>
        <v>15027.900000000001</v>
      </c>
      <c r="D14" s="113">
        <v>3268.9</v>
      </c>
      <c r="E14" s="113">
        <v>2947.8</v>
      </c>
      <c r="F14" s="113">
        <f>10862.2-2000-51</f>
        <v>8811.2</v>
      </c>
      <c r="G14" s="113"/>
      <c r="H14" s="113">
        <v>150</v>
      </c>
      <c r="I14" s="132"/>
      <c r="J14" s="132"/>
      <c r="K14" s="115">
        <f>C14+H14</f>
        <v>15177.900000000001</v>
      </c>
      <c r="L14" s="172"/>
      <c r="M14" s="23"/>
    </row>
    <row r="15" spans="1:13" s="18" customFormat="1" ht="13.5" customHeight="1">
      <c r="A15" s="56" t="s">
        <v>221</v>
      </c>
      <c r="B15" s="60" t="s">
        <v>222</v>
      </c>
      <c r="C15" s="61">
        <f>D15+E15+F15</f>
        <v>474054.3</v>
      </c>
      <c r="D15" s="61">
        <f>164739.1+206.4</f>
        <v>164945.5</v>
      </c>
      <c r="E15" s="61">
        <f>48673.9-132.5-90</f>
        <v>48451.4</v>
      </c>
      <c r="F15" s="61">
        <f>230405.8+45-93+180+24367+180+275+4100+900+75.1+132.5+90</f>
        <v>260657.4</v>
      </c>
      <c r="G15" s="61"/>
      <c r="H15" s="61">
        <v>10163.5</v>
      </c>
      <c r="I15" s="61"/>
      <c r="J15" s="61"/>
      <c r="K15" s="62">
        <f>C15+H15</f>
        <v>484217.8</v>
      </c>
      <c r="L15" s="173"/>
      <c r="M15" s="23">
        <f>L15-K15</f>
        <v>-484217.8</v>
      </c>
    </row>
    <row r="16" spans="1:59" ht="14.25" customHeight="1">
      <c r="A16" s="58" t="s">
        <v>196</v>
      </c>
      <c r="B16" s="20" t="s">
        <v>195</v>
      </c>
      <c r="C16" s="26">
        <f>F16</f>
        <v>45</v>
      </c>
      <c r="D16" s="21"/>
      <c r="E16" s="21"/>
      <c r="F16" s="21">
        <v>45</v>
      </c>
      <c r="G16" s="21"/>
      <c r="H16" s="21"/>
      <c r="I16" s="21"/>
      <c r="J16" s="21"/>
      <c r="K16" s="67">
        <f>C16</f>
        <v>45</v>
      </c>
      <c r="L16" s="174"/>
      <c r="M16" s="2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64.5" customHeight="1">
      <c r="A17" s="58" t="s">
        <v>193</v>
      </c>
      <c r="B17" s="20" t="s">
        <v>192</v>
      </c>
      <c r="C17" s="113">
        <f>D17+E17+F17</f>
        <v>1476.8</v>
      </c>
      <c r="D17" s="21"/>
      <c r="E17" s="21"/>
      <c r="F17" s="21">
        <v>1476.8</v>
      </c>
      <c r="G17" s="21"/>
      <c r="H17" s="21"/>
      <c r="I17" s="21"/>
      <c r="J17" s="21"/>
      <c r="K17" s="67">
        <f>C17+H17</f>
        <v>1476.8</v>
      </c>
      <c r="L17" s="174"/>
      <c r="M17" s="2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13" s="18" customFormat="1" ht="16.5" customHeight="1">
      <c r="A18" s="56" t="s">
        <v>223</v>
      </c>
      <c r="B18" s="60" t="s">
        <v>224</v>
      </c>
      <c r="C18" s="61">
        <f>D18+E18+F18</f>
        <v>849201.4</v>
      </c>
      <c r="D18" s="61">
        <f>349830.4+898.7</f>
        <v>350729.10000000003</v>
      </c>
      <c r="E18" s="61">
        <f>78320.9-1900-1835.1-234.6</f>
        <v>74351.19999999998</v>
      </c>
      <c r="F18" s="61">
        <f>384938.8+15000+500+30+3000+13230.2-1314+50+6253.2-70-831.9+250+1500-2486.2+1000+1900+936.4+234.6</f>
        <v>424121.1</v>
      </c>
      <c r="G18" s="61"/>
      <c r="H18" s="61">
        <v>25393.4</v>
      </c>
      <c r="I18" s="133">
        <f>10000-10000</f>
        <v>0</v>
      </c>
      <c r="J18" s="133"/>
      <c r="K18" s="62">
        <f>C18+H18</f>
        <v>874594.8</v>
      </c>
      <c r="L18" s="175"/>
      <c r="M18" s="23">
        <f>L18-K18</f>
        <v>-874594.8</v>
      </c>
    </row>
    <row r="19" spans="1:13" s="18" customFormat="1" ht="13.5" customHeight="1">
      <c r="A19" s="56"/>
      <c r="B19" s="135" t="s">
        <v>113</v>
      </c>
      <c r="C19" s="176"/>
      <c r="D19" s="61"/>
      <c r="E19" s="61"/>
      <c r="F19" s="61"/>
      <c r="G19" s="61"/>
      <c r="H19" s="61"/>
      <c r="I19" s="133"/>
      <c r="J19" s="133"/>
      <c r="K19" s="62"/>
      <c r="L19" s="175"/>
      <c r="M19" s="23"/>
    </row>
    <row r="20" spans="1:13" s="18" customFormat="1" ht="30.75" customHeight="1">
      <c r="A20" s="345" t="s">
        <v>267</v>
      </c>
      <c r="B20" s="36" t="s">
        <v>435</v>
      </c>
      <c r="C20" s="26">
        <f aca="true" t="shared" si="1" ref="C20:C30">D20+E20+F20</f>
        <v>22964.1</v>
      </c>
      <c r="D20" s="21"/>
      <c r="E20" s="21"/>
      <c r="F20" s="21">
        <f>22964.1</f>
        <v>22964.1</v>
      </c>
      <c r="G20" s="21"/>
      <c r="H20" s="21"/>
      <c r="I20" s="21"/>
      <c r="J20" s="21"/>
      <c r="K20" s="67">
        <f aca="true" t="shared" si="2" ref="K20:K59">C20+H20</f>
        <v>22964.1</v>
      </c>
      <c r="L20" s="175"/>
      <c r="M20" s="23"/>
    </row>
    <row r="21" spans="1:13" s="18" customFormat="1" ht="39.75" customHeight="1">
      <c r="A21" s="345" t="s">
        <v>267</v>
      </c>
      <c r="B21" s="36" t="s">
        <v>416</v>
      </c>
      <c r="C21" s="26">
        <f t="shared" si="1"/>
        <v>13230.2</v>
      </c>
      <c r="D21" s="21"/>
      <c r="E21" s="21"/>
      <c r="F21" s="21">
        <v>13230.2</v>
      </c>
      <c r="G21" s="21"/>
      <c r="H21" s="21"/>
      <c r="I21" s="21"/>
      <c r="J21" s="21"/>
      <c r="K21" s="67">
        <f t="shared" si="2"/>
        <v>13230.2</v>
      </c>
      <c r="L21" s="175"/>
      <c r="M21" s="23"/>
    </row>
    <row r="22" spans="1:59" ht="63.75">
      <c r="A22" s="58" t="s">
        <v>272</v>
      </c>
      <c r="B22" s="20" t="s">
        <v>192</v>
      </c>
      <c r="C22" s="26">
        <f t="shared" si="1"/>
        <v>44.4</v>
      </c>
      <c r="D22" s="21"/>
      <c r="E22" s="21"/>
      <c r="F22" s="21">
        <v>44.4</v>
      </c>
      <c r="G22" s="21"/>
      <c r="H22" s="21"/>
      <c r="I22" s="21"/>
      <c r="J22" s="21"/>
      <c r="K22" s="67">
        <f t="shared" si="2"/>
        <v>44.4</v>
      </c>
      <c r="L22" s="174"/>
      <c r="M22" s="2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ht="63.75" hidden="1">
      <c r="A23" s="406" t="s">
        <v>418</v>
      </c>
      <c r="B23" s="20" t="s">
        <v>419</v>
      </c>
      <c r="C23" s="26">
        <f>469219.9</f>
        <v>469219.9</v>
      </c>
      <c r="D23" s="21">
        <v>191877.3</v>
      </c>
      <c r="E23" s="21">
        <v>49217.3</v>
      </c>
      <c r="F23" s="21">
        <f>C23-D23-E23</f>
        <v>228125.30000000005</v>
      </c>
      <c r="G23" s="21"/>
      <c r="H23" s="21">
        <v>12435.4</v>
      </c>
      <c r="I23" s="21"/>
      <c r="J23" s="21"/>
      <c r="K23" s="67">
        <f t="shared" si="2"/>
        <v>481655.30000000005</v>
      </c>
      <c r="L23" s="343"/>
      <c r="M23" s="2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63.75">
      <c r="A24" s="407"/>
      <c r="B24" s="65" t="s">
        <v>442</v>
      </c>
      <c r="C24" s="26">
        <f t="shared" si="1"/>
        <v>3000</v>
      </c>
      <c r="D24" s="21"/>
      <c r="E24" s="21"/>
      <c r="F24" s="21">
        <v>3000</v>
      </c>
      <c r="G24" s="21"/>
      <c r="H24" s="21"/>
      <c r="I24" s="21"/>
      <c r="J24" s="21"/>
      <c r="K24" s="67">
        <f t="shared" si="2"/>
        <v>3000</v>
      </c>
      <c r="L24" s="343"/>
      <c r="M24" s="23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13" s="18" customFormat="1" ht="12.75">
      <c r="A25" s="56" t="s">
        <v>227</v>
      </c>
      <c r="B25" s="60" t="s">
        <v>228</v>
      </c>
      <c r="C25" s="41">
        <f>D25+E25+F25+G25</f>
        <v>193447.49999999997</v>
      </c>
      <c r="D25" s="41">
        <f>D27+D28+D29+D30+D31+D32+D33+D34+D35+D36+D37+D38+D39+D40+D41+D26</f>
        <v>59815.00000000001</v>
      </c>
      <c r="E25" s="41">
        <f>E27+E28+E29+E30+E31+E32+E33+E34+E35+E36+E37+E38+E39+E40+E41+E26</f>
        <v>24561.100000000002</v>
      </c>
      <c r="F25" s="41">
        <f>F27+F28+F29+F30+F31+F32+F33+F34+F35+F36+F37+F38+F39+F40+F41+F26</f>
        <v>105899.99999999999</v>
      </c>
      <c r="G25" s="41">
        <f>G27+G28+G29+G30+G31+G32+G33+G34+G35+G36+G37+G38+G39+G40+G41+G26</f>
        <v>3171.4</v>
      </c>
      <c r="H25" s="41">
        <f>H27+H28+H29+H30+H31+H32+H33+H34+H35+H36+H37+H38+H39+H40+H41</f>
        <v>31816.8</v>
      </c>
      <c r="I25" s="41">
        <f>I27+I28+I29+I30+I31+I32+I33+I34+I35+I36+I37+I38+I39+I40+I41</f>
        <v>0</v>
      </c>
      <c r="J25" s="61" t="e">
        <f>J27+#REF!+J28+J29+#REF!+#REF!+#REF!+J31+J32+J33+J34+J35+J36+J38+J37+#REF!+#REF!+#REF!+#REF!+#REF!+#REF!+J30+#REF!+J39+#REF!+#REF!</f>
        <v>#REF!</v>
      </c>
      <c r="K25" s="57">
        <f t="shared" si="2"/>
        <v>225264.29999999996</v>
      </c>
      <c r="L25" s="62"/>
      <c r="M25" s="23">
        <f>F25-'[1]№2'!$F$23</f>
        <v>1379.9999999999854</v>
      </c>
    </row>
    <row r="26" spans="1:13" s="18" customFormat="1" ht="27.75" customHeight="1">
      <c r="A26" s="58" t="s">
        <v>74</v>
      </c>
      <c r="B26" s="144" t="s">
        <v>75</v>
      </c>
      <c r="C26" s="26">
        <f t="shared" si="1"/>
        <v>1517.4</v>
      </c>
      <c r="D26" s="61"/>
      <c r="E26" s="61"/>
      <c r="F26" s="26">
        <v>1517.4</v>
      </c>
      <c r="G26" s="26"/>
      <c r="H26" s="61"/>
      <c r="I26" s="61"/>
      <c r="J26" s="61"/>
      <c r="K26" s="59">
        <f t="shared" si="2"/>
        <v>1517.4</v>
      </c>
      <c r="L26" s="237"/>
      <c r="M26" s="23"/>
    </row>
    <row r="27" spans="1:13" ht="15.75" customHeight="1">
      <c r="A27" s="58" t="s">
        <v>229</v>
      </c>
      <c r="B27" s="17" t="s">
        <v>230</v>
      </c>
      <c r="C27" s="26">
        <f t="shared" si="1"/>
        <v>0.6</v>
      </c>
      <c r="D27" s="26"/>
      <c r="E27" s="26"/>
      <c r="F27" s="26">
        <v>0.6</v>
      </c>
      <c r="G27" s="26"/>
      <c r="H27" s="26"/>
      <c r="I27" s="26"/>
      <c r="J27" s="26"/>
      <c r="K27" s="59">
        <f t="shared" si="2"/>
        <v>0.6</v>
      </c>
      <c r="L27" s="172"/>
      <c r="M27" s="23"/>
    </row>
    <row r="28" spans="1:13" ht="110.25" customHeight="1">
      <c r="A28" s="58" t="s">
        <v>99</v>
      </c>
      <c r="B28" s="20" t="s">
        <v>98</v>
      </c>
      <c r="C28" s="26">
        <f t="shared" si="1"/>
        <v>169317.59999999998</v>
      </c>
      <c r="D28" s="26">
        <v>57682.3</v>
      </c>
      <c r="E28" s="26">
        <v>23989.2</v>
      </c>
      <c r="F28" s="26">
        <f>74357.4+36+500+11000+87+1665.7</f>
        <v>87646.09999999999</v>
      </c>
      <c r="G28" s="26"/>
      <c r="H28" s="26">
        <v>31816.8</v>
      </c>
      <c r="I28" s="26"/>
      <c r="J28" s="26"/>
      <c r="K28" s="59">
        <f t="shared" si="2"/>
        <v>201134.39999999997</v>
      </c>
      <c r="L28" s="172"/>
      <c r="M28" s="23"/>
    </row>
    <row r="29" spans="1:13" ht="27" customHeight="1">
      <c r="A29" s="58" t="s">
        <v>233</v>
      </c>
      <c r="B29" s="17" t="s">
        <v>234</v>
      </c>
      <c r="C29" s="26">
        <f t="shared" si="1"/>
        <v>230.5</v>
      </c>
      <c r="D29" s="26"/>
      <c r="E29" s="26"/>
      <c r="F29" s="26">
        <f>329.5-99</f>
        <v>230.5</v>
      </c>
      <c r="G29" s="26"/>
      <c r="H29" s="26"/>
      <c r="I29" s="26"/>
      <c r="J29" s="26"/>
      <c r="K29" s="59">
        <f t="shared" si="2"/>
        <v>230.5</v>
      </c>
      <c r="L29" s="172"/>
      <c r="M29" s="23"/>
    </row>
    <row r="30" spans="1:13" ht="14.25" customHeight="1">
      <c r="A30" s="58" t="s">
        <v>96</v>
      </c>
      <c r="B30" s="17" t="s">
        <v>110</v>
      </c>
      <c r="C30" s="26">
        <f t="shared" si="1"/>
        <v>1526.9</v>
      </c>
      <c r="D30" s="26"/>
      <c r="E30" s="26"/>
      <c r="F30" s="26">
        <f>1226.9+300</f>
        <v>1526.9</v>
      </c>
      <c r="G30" s="26"/>
      <c r="H30" s="26"/>
      <c r="I30" s="26"/>
      <c r="J30" s="26"/>
      <c r="K30" s="59">
        <f t="shared" si="2"/>
        <v>1526.9</v>
      </c>
      <c r="L30" s="172"/>
      <c r="M30" s="23"/>
    </row>
    <row r="31" spans="1:13" ht="13.5" customHeight="1">
      <c r="A31" s="58" t="s">
        <v>37</v>
      </c>
      <c r="B31" s="17" t="s">
        <v>38</v>
      </c>
      <c r="C31" s="26">
        <f aca="true" t="shared" si="3" ref="C31:C41">D31+E31+F31</f>
        <v>899.6999999999999</v>
      </c>
      <c r="D31" s="26">
        <v>527.8</v>
      </c>
      <c r="E31" s="26">
        <v>26.9</v>
      </c>
      <c r="F31" s="26">
        <v>345</v>
      </c>
      <c r="G31" s="26"/>
      <c r="H31" s="26"/>
      <c r="I31" s="26"/>
      <c r="J31" s="26"/>
      <c r="K31" s="59">
        <f t="shared" si="2"/>
        <v>899.6999999999999</v>
      </c>
      <c r="L31" s="172"/>
      <c r="M31" s="23"/>
    </row>
    <row r="32" spans="1:13" ht="25.5">
      <c r="A32" s="58" t="s">
        <v>39</v>
      </c>
      <c r="B32" s="17" t="s">
        <v>40</v>
      </c>
      <c r="C32" s="26">
        <f t="shared" si="3"/>
        <v>176.6</v>
      </c>
      <c r="D32" s="26"/>
      <c r="E32" s="26"/>
      <c r="F32" s="26">
        <v>176.6</v>
      </c>
      <c r="G32" s="26"/>
      <c r="H32" s="26"/>
      <c r="I32" s="26"/>
      <c r="J32" s="26"/>
      <c r="K32" s="59">
        <f t="shared" si="2"/>
        <v>176.6</v>
      </c>
      <c r="L32" s="172"/>
      <c r="M32" s="23"/>
    </row>
    <row r="33" spans="1:13" ht="25.5">
      <c r="A33" s="58" t="s">
        <v>41</v>
      </c>
      <c r="B33" s="17" t="s">
        <v>89</v>
      </c>
      <c r="C33" s="26">
        <f t="shared" si="3"/>
        <v>1080.6</v>
      </c>
      <c r="D33" s="26"/>
      <c r="E33" s="26"/>
      <c r="F33" s="26">
        <v>1080.6</v>
      </c>
      <c r="G33" s="26"/>
      <c r="H33" s="26"/>
      <c r="I33" s="26"/>
      <c r="J33" s="26"/>
      <c r="K33" s="59">
        <f t="shared" si="2"/>
        <v>1080.6</v>
      </c>
      <c r="L33" s="172"/>
      <c r="M33" s="23"/>
    </row>
    <row r="34" spans="1:13" ht="25.5">
      <c r="A34" s="58" t="s">
        <v>42</v>
      </c>
      <c r="B34" s="17" t="s">
        <v>43</v>
      </c>
      <c r="C34" s="26">
        <f t="shared" si="3"/>
        <v>132</v>
      </c>
      <c r="D34" s="26"/>
      <c r="E34" s="26"/>
      <c r="F34" s="26">
        <v>132</v>
      </c>
      <c r="G34" s="26"/>
      <c r="H34" s="26"/>
      <c r="I34" s="26"/>
      <c r="J34" s="26"/>
      <c r="K34" s="59">
        <f t="shared" si="2"/>
        <v>132</v>
      </c>
      <c r="L34" s="172"/>
      <c r="M34" s="23"/>
    </row>
    <row r="35" spans="1:13" ht="12.75">
      <c r="A35" s="58" t="s">
        <v>44</v>
      </c>
      <c r="B35" s="17" t="s">
        <v>45</v>
      </c>
      <c r="C35" s="26">
        <f t="shared" si="3"/>
        <v>1226.1999999999998</v>
      </c>
      <c r="D35" s="26">
        <v>497.4</v>
      </c>
      <c r="E35" s="26">
        <v>108</v>
      </c>
      <c r="F35" s="26">
        <f>642.5-21.7</f>
        <v>620.8</v>
      </c>
      <c r="G35" s="26"/>
      <c r="H35" s="26"/>
      <c r="I35" s="26"/>
      <c r="J35" s="26"/>
      <c r="K35" s="59">
        <f t="shared" si="2"/>
        <v>1226.1999999999998</v>
      </c>
      <c r="L35" s="172"/>
      <c r="M35" s="23"/>
    </row>
    <row r="36" spans="1:13" ht="12.75">
      <c r="A36" s="58" t="s">
        <v>46</v>
      </c>
      <c r="B36" s="17" t="s">
        <v>47</v>
      </c>
      <c r="C36" s="26">
        <f t="shared" si="3"/>
        <v>3077.3999999999996</v>
      </c>
      <c r="D36" s="26">
        <v>1107.5</v>
      </c>
      <c r="E36" s="26">
        <f>517-80</f>
        <v>437</v>
      </c>
      <c r="F36" s="26">
        <f>1188.9+4+4700+260-4700+80</f>
        <v>1532.8999999999996</v>
      </c>
      <c r="G36" s="26"/>
      <c r="H36" s="26"/>
      <c r="I36" s="26"/>
      <c r="J36" s="26"/>
      <c r="K36" s="59">
        <f t="shared" si="2"/>
        <v>3077.3999999999996</v>
      </c>
      <c r="L36" s="172"/>
      <c r="M36" s="23"/>
    </row>
    <row r="37" spans="1:13" ht="25.5">
      <c r="A37" s="58" t="s">
        <v>48</v>
      </c>
      <c r="B37" s="17" t="s">
        <v>49</v>
      </c>
      <c r="C37" s="26">
        <f t="shared" si="3"/>
        <v>210.2</v>
      </c>
      <c r="D37" s="26"/>
      <c r="E37" s="26"/>
      <c r="F37" s="26">
        <f>188.5+21.7</f>
        <v>210.2</v>
      </c>
      <c r="G37" s="26"/>
      <c r="H37" s="26"/>
      <c r="I37" s="26"/>
      <c r="J37" s="26"/>
      <c r="K37" s="59">
        <f t="shared" si="2"/>
        <v>210.2</v>
      </c>
      <c r="L37" s="172"/>
      <c r="M37" s="23"/>
    </row>
    <row r="38" spans="1:13" ht="50.25" customHeight="1">
      <c r="A38" s="58" t="s">
        <v>72</v>
      </c>
      <c r="B38" s="20" t="s">
        <v>73</v>
      </c>
      <c r="C38" s="26">
        <f>D38+E38+F38+G38</f>
        <v>12900.999999999998</v>
      </c>
      <c r="D38" s="26"/>
      <c r="E38" s="26"/>
      <c r="F38" s="26">
        <f>217.8+9211.8+300</f>
        <v>9729.599999999999</v>
      </c>
      <c r="G38" s="26">
        <f>2975.8+195.6</f>
        <v>3171.4</v>
      </c>
      <c r="H38" s="26"/>
      <c r="I38" s="26"/>
      <c r="J38" s="26"/>
      <c r="K38" s="59">
        <f t="shared" si="2"/>
        <v>12900.999999999998</v>
      </c>
      <c r="L38" s="172"/>
      <c r="M38" s="23"/>
    </row>
    <row r="39" spans="1:13" ht="68.25" customHeight="1">
      <c r="A39" s="58" t="s">
        <v>191</v>
      </c>
      <c r="B39" s="20" t="s">
        <v>192</v>
      </c>
      <c r="C39" s="26">
        <f t="shared" si="3"/>
        <v>0.8</v>
      </c>
      <c r="D39" s="26"/>
      <c r="E39" s="26"/>
      <c r="F39" s="26">
        <v>0.8</v>
      </c>
      <c r="G39" s="26"/>
      <c r="H39" s="26"/>
      <c r="I39" s="26"/>
      <c r="J39" s="26"/>
      <c r="K39" s="59">
        <f t="shared" si="2"/>
        <v>0.8</v>
      </c>
      <c r="L39" s="172"/>
      <c r="M39" s="23"/>
    </row>
    <row r="40" spans="1:13" ht="38.25">
      <c r="A40" s="58" t="s">
        <v>273</v>
      </c>
      <c r="B40" s="20" t="s">
        <v>278</v>
      </c>
      <c r="C40" s="26">
        <f t="shared" si="3"/>
        <v>1000</v>
      </c>
      <c r="D40" s="26"/>
      <c r="E40" s="26"/>
      <c r="F40" s="26">
        <v>1000</v>
      </c>
      <c r="G40" s="26"/>
      <c r="H40" s="26"/>
      <c r="I40" s="26"/>
      <c r="J40" s="26"/>
      <c r="K40" s="59">
        <f t="shared" si="2"/>
        <v>1000</v>
      </c>
      <c r="L40" s="172"/>
      <c r="M40" s="23"/>
    </row>
    <row r="41" spans="1:13" ht="12.75">
      <c r="A41" s="58" t="s">
        <v>279</v>
      </c>
      <c r="B41" s="20" t="s">
        <v>275</v>
      </c>
      <c r="C41" s="26">
        <f t="shared" si="3"/>
        <v>150</v>
      </c>
      <c r="D41" s="26"/>
      <c r="E41" s="26"/>
      <c r="F41" s="26">
        <f>976.7-826.7</f>
        <v>150</v>
      </c>
      <c r="G41" s="26"/>
      <c r="H41" s="26"/>
      <c r="I41" s="26"/>
      <c r="J41" s="26"/>
      <c r="K41" s="59">
        <f t="shared" si="2"/>
        <v>150</v>
      </c>
      <c r="L41" s="172"/>
      <c r="M41" s="23"/>
    </row>
    <row r="42" spans="1:16" s="18" customFormat="1" ht="12.75">
      <c r="A42" s="56" t="s">
        <v>393</v>
      </c>
      <c r="B42" s="22" t="s">
        <v>235</v>
      </c>
      <c r="C42" s="41">
        <f>D42+E42+F42+G42</f>
        <v>10233.699999999999</v>
      </c>
      <c r="D42" s="41"/>
      <c r="E42" s="41"/>
      <c r="F42" s="41">
        <f>F43+F44+F45+F46+F47</f>
        <v>10157.199999999999</v>
      </c>
      <c r="G42" s="41">
        <f>G43+G45+G46+G47</f>
        <v>76.5</v>
      </c>
      <c r="H42" s="41">
        <f>H45+H48</f>
        <v>25758.6</v>
      </c>
      <c r="I42" s="41">
        <f>I45+I48</f>
        <v>0</v>
      </c>
      <c r="J42" s="41"/>
      <c r="K42" s="57">
        <f>C42+H42</f>
        <v>35992.299999999996</v>
      </c>
      <c r="L42" s="173"/>
      <c r="M42" s="23">
        <f>L42-C42</f>
        <v>-10233.699999999999</v>
      </c>
      <c r="P42" s="177"/>
    </row>
    <row r="43" spans="1:16" ht="12.75">
      <c r="A43" s="58" t="s">
        <v>420</v>
      </c>
      <c r="B43" s="17" t="s">
        <v>425</v>
      </c>
      <c r="C43" s="26">
        <f>F43+G43</f>
        <v>749.7</v>
      </c>
      <c r="D43" s="26"/>
      <c r="E43" s="26"/>
      <c r="F43" s="26">
        <v>673.2</v>
      </c>
      <c r="G43" s="26">
        <f>64.5+12</f>
        <v>76.5</v>
      </c>
      <c r="H43" s="26"/>
      <c r="I43" s="26"/>
      <c r="J43" s="26"/>
      <c r="K43" s="59">
        <f t="shared" si="2"/>
        <v>749.7</v>
      </c>
      <c r="L43" s="172"/>
      <c r="M43" s="21"/>
      <c r="P43" s="28"/>
    </row>
    <row r="44" spans="1:16" ht="12.75">
      <c r="A44" s="58" t="s">
        <v>455</v>
      </c>
      <c r="B44" s="17" t="s">
        <v>456</v>
      </c>
      <c r="C44" s="26">
        <f>F44+G44</f>
        <v>1000</v>
      </c>
      <c r="D44" s="26"/>
      <c r="E44" s="26"/>
      <c r="F44" s="26">
        <v>1000</v>
      </c>
      <c r="G44" s="26"/>
      <c r="H44" s="26"/>
      <c r="I44" s="26"/>
      <c r="J44" s="26"/>
      <c r="K44" s="59">
        <f t="shared" si="2"/>
        <v>1000</v>
      </c>
      <c r="L44" s="172"/>
      <c r="M44" s="21"/>
      <c r="P44" s="28"/>
    </row>
    <row r="45" spans="1:13" s="18" customFormat="1" ht="13.5" customHeight="1">
      <c r="A45" s="58" t="s">
        <v>327</v>
      </c>
      <c r="B45" s="17" t="s">
        <v>328</v>
      </c>
      <c r="C45" s="26">
        <f>F45</f>
        <v>7413.999999999999</v>
      </c>
      <c r="D45" s="26"/>
      <c r="E45" s="26"/>
      <c r="F45" s="21">
        <f>4971.8+4680-2237.8</f>
        <v>7413.999999999999</v>
      </c>
      <c r="G45" s="21"/>
      <c r="H45" s="26"/>
      <c r="I45" s="26"/>
      <c r="J45" s="41"/>
      <c r="K45" s="59">
        <f t="shared" si="2"/>
        <v>7413.999999999999</v>
      </c>
      <c r="L45" s="173"/>
      <c r="M45" s="23"/>
    </row>
    <row r="46" spans="1:13" s="18" customFormat="1" ht="13.5" customHeight="1">
      <c r="A46" s="58" t="s">
        <v>423</v>
      </c>
      <c r="B46" s="17" t="s">
        <v>424</v>
      </c>
      <c r="C46" s="26">
        <f>F46</f>
        <v>200</v>
      </c>
      <c r="D46" s="26"/>
      <c r="E46" s="26"/>
      <c r="F46" s="21">
        <v>200</v>
      </c>
      <c r="G46" s="21"/>
      <c r="H46" s="26"/>
      <c r="I46" s="26"/>
      <c r="J46" s="41"/>
      <c r="K46" s="59">
        <f t="shared" si="2"/>
        <v>200</v>
      </c>
      <c r="L46" s="173"/>
      <c r="M46" s="23"/>
    </row>
    <row r="47" spans="1:13" s="18" customFormat="1" ht="51">
      <c r="A47" s="58" t="s">
        <v>399</v>
      </c>
      <c r="B47" s="20" t="s">
        <v>400</v>
      </c>
      <c r="C47" s="26">
        <f>F47</f>
        <v>870</v>
      </c>
      <c r="D47" s="26"/>
      <c r="E47" s="26"/>
      <c r="F47" s="21">
        <v>870</v>
      </c>
      <c r="G47" s="21"/>
      <c r="H47" s="26"/>
      <c r="I47" s="26"/>
      <c r="J47" s="41"/>
      <c r="K47" s="59">
        <f t="shared" si="2"/>
        <v>870</v>
      </c>
      <c r="L47" s="173"/>
      <c r="M47" s="23"/>
    </row>
    <row r="48" spans="1:13" s="18" customFormat="1" ht="115.5" customHeight="1">
      <c r="A48" s="58" t="s">
        <v>309</v>
      </c>
      <c r="B48" s="47" t="s">
        <v>406</v>
      </c>
      <c r="C48" s="26"/>
      <c r="D48" s="26"/>
      <c r="E48" s="26"/>
      <c r="F48" s="26"/>
      <c r="G48" s="26"/>
      <c r="H48" s="26">
        <f>13540.8+72209.2-34554.5-25436.9</f>
        <v>25758.6</v>
      </c>
      <c r="I48" s="26"/>
      <c r="J48" s="41"/>
      <c r="K48" s="59">
        <f t="shared" si="2"/>
        <v>25758.6</v>
      </c>
      <c r="L48" s="173"/>
      <c r="M48" s="23"/>
    </row>
    <row r="49" spans="1:13" s="18" customFormat="1" ht="15" customHeight="1">
      <c r="A49" s="63">
        <v>110000</v>
      </c>
      <c r="B49" s="22" t="s">
        <v>50</v>
      </c>
      <c r="C49" s="41">
        <f>D49+E49+F49</f>
        <v>99344.4</v>
      </c>
      <c r="D49" s="41">
        <f>8510.7+426.8</f>
        <v>8937.5</v>
      </c>
      <c r="E49" s="41">
        <v>2172</v>
      </c>
      <c r="F49" s="41">
        <f>62416.7+17930.8+1000+4620+290+173.1+500+237.9-340+400+800+100+40-100-40+155.4+51</f>
        <v>88234.9</v>
      </c>
      <c r="G49" s="41"/>
      <c r="H49" s="41">
        <f>1331.4+36</f>
        <v>1367.4</v>
      </c>
      <c r="I49" s="41">
        <f>I50+I51+I53</f>
        <v>0</v>
      </c>
      <c r="J49" s="41"/>
      <c r="K49" s="57">
        <f t="shared" si="2"/>
        <v>100711.79999999999</v>
      </c>
      <c r="L49" s="173"/>
      <c r="M49" s="23">
        <f>L49-K49</f>
        <v>-100711.79999999999</v>
      </c>
    </row>
    <row r="50" spans="1:13" ht="15" customHeight="1">
      <c r="A50" s="64" t="s">
        <v>51</v>
      </c>
      <c r="B50" s="17" t="s">
        <v>52</v>
      </c>
      <c r="C50" s="26">
        <f>D50+E50+F50</f>
        <v>49498.5</v>
      </c>
      <c r="D50" s="26"/>
      <c r="E50" s="26"/>
      <c r="F50" s="26">
        <f>34149.1+15349.4</f>
        <v>49498.5</v>
      </c>
      <c r="G50" s="26"/>
      <c r="H50" s="26"/>
      <c r="I50" s="26"/>
      <c r="J50" s="26"/>
      <c r="K50" s="59">
        <f t="shared" si="2"/>
        <v>49498.5</v>
      </c>
      <c r="L50" s="172"/>
      <c r="M50" s="23"/>
    </row>
    <row r="51" spans="1:13" ht="25.5">
      <c r="A51" s="64" t="s">
        <v>53</v>
      </c>
      <c r="B51" s="17" t="s">
        <v>412</v>
      </c>
      <c r="C51" s="26">
        <f>D51+E51+F51</f>
        <v>23855.4</v>
      </c>
      <c r="D51" s="26"/>
      <c r="E51" s="26">
        <v>15</v>
      </c>
      <c r="F51" s="26">
        <f>18437+2581.4+1000+173.1+500+237.9-340+400+800+40-40+51</f>
        <v>23840.4</v>
      </c>
      <c r="G51" s="26"/>
      <c r="H51" s="26"/>
      <c r="I51" s="26"/>
      <c r="J51" s="26"/>
      <c r="K51" s="59">
        <f t="shared" si="2"/>
        <v>23855.4</v>
      </c>
      <c r="L51" s="172"/>
      <c r="M51" s="23"/>
    </row>
    <row r="52" spans="1:13" ht="12.75">
      <c r="A52" s="64" t="s">
        <v>281</v>
      </c>
      <c r="B52" s="17" t="s">
        <v>282</v>
      </c>
      <c r="C52" s="26"/>
      <c r="D52" s="26"/>
      <c r="E52" s="26"/>
      <c r="F52" s="26"/>
      <c r="G52" s="26"/>
      <c r="H52" s="26">
        <f>130+36</f>
        <v>166</v>
      </c>
      <c r="I52" s="26"/>
      <c r="J52" s="26"/>
      <c r="K52" s="59">
        <f t="shared" si="2"/>
        <v>166</v>
      </c>
      <c r="L52" s="172"/>
      <c r="M52" s="23"/>
    </row>
    <row r="53" spans="1:13" ht="12.75">
      <c r="A53" s="64">
        <v>110300</v>
      </c>
      <c r="B53" s="17" t="s">
        <v>236</v>
      </c>
      <c r="C53" s="26">
        <f aca="true" t="shared" si="4" ref="C53:C65">D53+E53+F53</f>
        <v>5344</v>
      </c>
      <c r="D53" s="26"/>
      <c r="E53" s="26"/>
      <c r="F53" s="26">
        <f>724+4620</f>
        <v>5344</v>
      </c>
      <c r="G53" s="26"/>
      <c r="H53" s="26"/>
      <c r="I53" s="26"/>
      <c r="J53" s="26"/>
      <c r="K53" s="59">
        <f t="shared" si="2"/>
        <v>5344</v>
      </c>
      <c r="L53" s="172"/>
      <c r="M53" s="23"/>
    </row>
    <row r="54" spans="1:59" s="18" customFormat="1" ht="25.5" hidden="1">
      <c r="A54" s="64" t="s">
        <v>90</v>
      </c>
      <c r="B54" s="17" t="s">
        <v>293</v>
      </c>
      <c r="C54" s="26">
        <f>D54+E54+F54+G54</f>
        <v>0</v>
      </c>
      <c r="D54" s="21"/>
      <c r="E54" s="21"/>
      <c r="F54" s="21"/>
      <c r="G54" s="23"/>
      <c r="H54" s="21"/>
      <c r="I54" s="21"/>
      <c r="J54" s="23"/>
      <c r="K54" s="67">
        <f t="shared" si="2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</row>
    <row r="55" spans="1:13" s="18" customFormat="1" ht="12.75">
      <c r="A55" s="63">
        <v>120000</v>
      </c>
      <c r="B55" s="53" t="s">
        <v>237</v>
      </c>
      <c r="C55" s="41">
        <f>D55+E55+F55+G55</f>
        <v>6843.8</v>
      </c>
      <c r="D55" s="123">
        <f>D58</f>
        <v>0</v>
      </c>
      <c r="E55" s="123">
        <f>E58</f>
        <v>0</v>
      </c>
      <c r="F55" s="41">
        <f>F58+F56+F57</f>
        <v>4597.8</v>
      </c>
      <c r="G55" s="41">
        <f>G57</f>
        <v>2246</v>
      </c>
      <c r="H55" s="41"/>
      <c r="I55" s="41"/>
      <c r="J55" s="41"/>
      <c r="K55" s="57">
        <f>C55+H55</f>
        <v>6843.8</v>
      </c>
      <c r="L55" s="173"/>
      <c r="M55" s="23">
        <f>L55-C55</f>
        <v>-6843.8</v>
      </c>
    </row>
    <row r="56" spans="1:13" s="18" customFormat="1" ht="12" customHeight="1">
      <c r="A56" s="64" t="s">
        <v>333</v>
      </c>
      <c r="B56" s="243" t="s">
        <v>334</v>
      </c>
      <c r="C56" s="26">
        <f t="shared" si="4"/>
        <v>750</v>
      </c>
      <c r="D56" s="130"/>
      <c r="E56" s="130"/>
      <c r="F56" s="26">
        <f>500+250</f>
        <v>750</v>
      </c>
      <c r="G56" s="26"/>
      <c r="H56" s="26"/>
      <c r="I56" s="26"/>
      <c r="J56" s="26"/>
      <c r="K56" s="59">
        <f>C56+H56</f>
        <v>750</v>
      </c>
      <c r="L56" s="173"/>
      <c r="M56" s="23"/>
    </row>
    <row r="57" spans="1:13" s="18" customFormat="1" ht="12" customHeight="1">
      <c r="A57" s="64">
        <v>120201</v>
      </c>
      <c r="B57" s="17" t="s">
        <v>346</v>
      </c>
      <c r="C57" s="26">
        <f>D57+E57+F57+G57</f>
        <v>4016</v>
      </c>
      <c r="D57" s="26"/>
      <c r="E57" s="26"/>
      <c r="F57" s="26">
        <f>800+970</f>
        <v>1770</v>
      </c>
      <c r="G57" s="26">
        <f>702.4+1500+50-6.4</f>
        <v>2246</v>
      </c>
      <c r="H57" s="26"/>
      <c r="I57" s="26"/>
      <c r="J57" s="26"/>
      <c r="K57" s="59">
        <f>C57+H57</f>
        <v>4016</v>
      </c>
      <c r="L57" s="173"/>
      <c r="M57" s="23"/>
    </row>
    <row r="58" spans="1:13" ht="15" customHeight="1">
      <c r="A58" s="64">
        <v>120300</v>
      </c>
      <c r="B58" s="17" t="s">
        <v>238</v>
      </c>
      <c r="C58" s="26">
        <f t="shared" si="4"/>
        <v>2077.8</v>
      </c>
      <c r="D58" s="26"/>
      <c r="E58" s="26"/>
      <c r="F58" s="26">
        <f>803.8+365+894.6+14.4</f>
        <v>2077.8</v>
      </c>
      <c r="G58" s="26"/>
      <c r="H58" s="26"/>
      <c r="I58" s="26"/>
      <c r="J58" s="26"/>
      <c r="K58" s="59">
        <f t="shared" si="2"/>
        <v>2077.8</v>
      </c>
      <c r="L58" s="172"/>
      <c r="M58" s="23"/>
    </row>
    <row r="59" spans="1:13" s="18" customFormat="1" ht="15" customHeight="1">
      <c r="A59" s="63">
        <v>130000</v>
      </c>
      <c r="B59" s="22" t="s">
        <v>239</v>
      </c>
      <c r="C59" s="41">
        <f t="shared" si="4"/>
        <v>42378</v>
      </c>
      <c r="D59" s="41">
        <v>9081.8</v>
      </c>
      <c r="E59" s="41">
        <v>432.9</v>
      </c>
      <c r="F59" s="41">
        <f>25547.3+1000+2000+1700+150-800+950+2000+316</f>
        <v>32863.3</v>
      </c>
      <c r="G59" s="41"/>
      <c r="H59" s="41"/>
      <c r="I59" s="41"/>
      <c r="J59" s="41"/>
      <c r="K59" s="57">
        <f t="shared" si="2"/>
        <v>42378</v>
      </c>
      <c r="L59" s="173"/>
      <c r="M59" s="23">
        <f>L59-C59</f>
        <v>-42378</v>
      </c>
    </row>
    <row r="60" spans="1:16" s="18" customFormat="1" ht="15" customHeight="1">
      <c r="A60" s="63">
        <v>150000</v>
      </c>
      <c r="B60" s="22" t="s">
        <v>240</v>
      </c>
      <c r="C60" s="41">
        <f t="shared" si="4"/>
        <v>875</v>
      </c>
      <c r="D60" s="41">
        <f>D61+D62+D63+D64+D65</f>
        <v>0</v>
      </c>
      <c r="E60" s="41">
        <f>E61+E62+E63+E64+E65</f>
        <v>0</v>
      </c>
      <c r="F60" s="41">
        <f>F61+F62+F63+F64+F65</f>
        <v>875</v>
      </c>
      <c r="G60" s="41"/>
      <c r="H60" s="41">
        <f>H61+H62+H63</f>
        <v>192052.8</v>
      </c>
      <c r="I60" s="41">
        <f>I61+I62+I63</f>
        <v>185231</v>
      </c>
      <c r="J60" s="41" t="e">
        <f>#REF!+#REF!+#REF!+#REF!+#REF!+#REF!+#REF!+3800+6400-5400-1954.7</f>
        <v>#REF!</v>
      </c>
      <c r="K60" s="57">
        <f>H60+C60</f>
        <v>192927.8</v>
      </c>
      <c r="L60" s="175"/>
      <c r="M60" s="23">
        <f>L60-C60</f>
        <v>-875</v>
      </c>
      <c r="P60" s="177"/>
    </row>
    <row r="61" spans="1:13" s="18" customFormat="1" ht="15" customHeight="1">
      <c r="A61" s="64">
        <v>150101</v>
      </c>
      <c r="B61" s="17" t="s">
        <v>241</v>
      </c>
      <c r="C61" s="26">
        <f t="shared" si="4"/>
        <v>0</v>
      </c>
      <c r="D61" s="41"/>
      <c r="E61" s="41"/>
      <c r="F61" s="41"/>
      <c r="G61" s="41"/>
      <c r="H61" s="26">
        <f>56539.1-543+5000+6719+20000+100000+1314-150-1148.1+11.3</f>
        <v>187742.3</v>
      </c>
      <c r="I61" s="26">
        <f>64137.2-11355.2-3053.4+5000+6719+20000+100000+1314-150-1148.1</f>
        <v>181463.5</v>
      </c>
      <c r="J61" s="41"/>
      <c r="K61" s="59">
        <f>C61+H61</f>
        <v>187742.3</v>
      </c>
      <c r="L61" s="175"/>
      <c r="M61" s="23">
        <f>L61-C61</f>
        <v>0</v>
      </c>
    </row>
    <row r="62" spans="1:12" s="18" customFormat="1" ht="27" customHeight="1">
      <c r="A62" s="64" t="s">
        <v>396</v>
      </c>
      <c r="B62" s="65" t="s">
        <v>397</v>
      </c>
      <c r="C62" s="26">
        <f t="shared" si="4"/>
        <v>0</v>
      </c>
      <c r="D62" s="41"/>
      <c r="E62" s="41"/>
      <c r="F62" s="41"/>
      <c r="G62" s="26"/>
      <c r="H62" s="26">
        <f>543+133.2+1148.1</f>
        <v>1824.3</v>
      </c>
      <c r="I62" s="26">
        <f>133.2+1148.1</f>
        <v>1281.3</v>
      </c>
      <c r="J62" s="59">
        <v>543</v>
      </c>
      <c r="K62" s="59">
        <f>C62+H62</f>
        <v>1824.3</v>
      </c>
      <c r="L62" s="23"/>
    </row>
    <row r="63" spans="1:12" s="18" customFormat="1" ht="46.5" customHeight="1">
      <c r="A63" s="64" t="s">
        <v>440</v>
      </c>
      <c r="B63" s="65" t="s">
        <v>441</v>
      </c>
      <c r="C63" s="26">
        <f t="shared" si="4"/>
        <v>0</v>
      </c>
      <c r="D63" s="41"/>
      <c r="E63" s="41"/>
      <c r="F63" s="41"/>
      <c r="G63" s="26"/>
      <c r="H63" s="26">
        <v>2486.2</v>
      </c>
      <c r="I63" s="26">
        <v>2486.2</v>
      </c>
      <c r="J63" s="350"/>
      <c r="K63" s="59"/>
      <c r="L63" s="175"/>
    </row>
    <row r="64" spans="1:12" s="18" customFormat="1" ht="54.75" customHeight="1">
      <c r="A64" s="64" t="s">
        <v>452</v>
      </c>
      <c r="B64" s="65" t="s">
        <v>453</v>
      </c>
      <c r="C64" s="26">
        <f t="shared" si="4"/>
        <v>245</v>
      </c>
      <c r="D64" s="41"/>
      <c r="E64" s="41"/>
      <c r="F64" s="26">
        <v>245</v>
      </c>
      <c r="G64" s="26"/>
      <c r="H64" s="26"/>
      <c r="I64" s="26"/>
      <c r="J64" s="350"/>
      <c r="K64" s="59"/>
      <c r="L64" s="175"/>
    </row>
    <row r="65" spans="1:12" s="18" customFormat="1" ht="27" customHeight="1">
      <c r="A65" s="64" t="s">
        <v>318</v>
      </c>
      <c r="B65" s="65" t="s">
        <v>421</v>
      </c>
      <c r="C65" s="26">
        <f t="shared" si="4"/>
        <v>630</v>
      </c>
      <c r="D65" s="41"/>
      <c r="E65" s="41"/>
      <c r="F65" s="26">
        <v>630</v>
      </c>
      <c r="G65" s="26"/>
      <c r="H65" s="26"/>
      <c r="I65" s="41"/>
      <c r="J65" s="350"/>
      <c r="K65" s="59">
        <f>C65+H65</f>
        <v>630</v>
      </c>
      <c r="L65" s="175"/>
    </row>
    <row r="66" spans="1:12" s="18" customFormat="1" ht="27" customHeight="1">
      <c r="A66" s="63" t="s">
        <v>427</v>
      </c>
      <c r="B66" s="86" t="s">
        <v>428</v>
      </c>
      <c r="C66" s="41">
        <f>F66</f>
        <v>1000</v>
      </c>
      <c r="D66" s="41"/>
      <c r="E66" s="41"/>
      <c r="F66" s="41">
        <v>1000</v>
      </c>
      <c r="G66" s="41"/>
      <c r="H66" s="41"/>
      <c r="I66" s="41"/>
      <c r="J66" s="351"/>
      <c r="K66" s="57">
        <f>C66+H66</f>
        <v>1000</v>
      </c>
      <c r="L66" s="175"/>
    </row>
    <row r="67" spans="1:13" s="18" customFormat="1" ht="25.5">
      <c r="A67" s="63">
        <v>170000</v>
      </c>
      <c r="B67" s="22" t="s">
        <v>242</v>
      </c>
      <c r="C67" s="41"/>
      <c r="D67" s="41"/>
      <c r="E67" s="41"/>
      <c r="F67" s="41"/>
      <c r="G67" s="41"/>
      <c r="H67" s="41">
        <f>H68</f>
        <v>52200</v>
      </c>
      <c r="I67" s="41"/>
      <c r="J67" s="41" t="e">
        <f>J68+#REF!+#REF!</f>
        <v>#REF!</v>
      </c>
      <c r="K67" s="57">
        <f>H67+C67</f>
        <v>52200</v>
      </c>
      <c r="L67" s="173"/>
      <c r="M67" s="23">
        <f>L67-C67</f>
        <v>0</v>
      </c>
    </row>
    <row r="68" spans="1:13" ht="38.25">
      <c r="A68" s="64">
        <v>170703</v>
      </c>
      <c r="B68" s="17" t="s">
        <v>54</v>
      </c>
      <c r="C68" s="26"/>
      <c r="D68" s="130"/>
      <c r="E68" s="130"/>
      <c r="F68" s="26"/>
      <c r="G68" s="26"/>
      <c r="H68" s="26">
        <v>52200</v>
      </c>
      <c r="I68" s="26"/>
      <c r="J68" s="26"/>
      <c r="K68" s="59">
        <f aca="true" t="shared" si="5" ref="K68:K81">C68+H68</f>
        <v>52200</v>
      </c>
      <c r="L68" s="172"/>
      <c r="M68" s="23"/>
    </row>
    <row r="69" spans="1:13" ht="25.5">
      <c r="A69" s="63" t="s">
        <v>331</v>
      </c>
      <c r="B69" s="22" t="s">
        <v>332</v>
      </c>
      <c r="C69" s="41">
        <f>D69+E69+F69</f>
        <v>2196</v>
      </c>
      <c r="D69" s="130"/>
      <c r="E69" s="130"/>
      <c r="F69" s="41">
        <v>2196</v>
      </c>
      <c r="G69" s="41"/>
      <c r="H69" s="26"/>
      <c r="I69" s="26"/>
      <c r="J69" s="26"/>
      <c r="K69" s="57">
        <f t="shared" si="5"/>
        <v>2196</v>
      </c>
      <c r="L69" s="172"/>
      <c r="M69" s="23"/>
    </row>
    <row r="70" spans="1:13" ht="27.75" customHeight="1">
      <c r="A70" s="63">
        <v>180109</v>
      </c>
      <c r="B70" s="22" t="s">
        <v>244</v>
      </c>
      <c r="C70" s="41">
        <f>D70+E70+F70</f>
        <v>19993.600000000002</v>
      </c>
      <c r="D70" s="26"/>
      <c r="E70" s="26"/>
      <c r="F70" s="41">
        <f>102020.3-930.8-2000-10379.7+305+93-2196-500-26507.9-500-5000-8000-1000-290-310-800-365-5000-1000-173.1-300-180-2000-4-500-6719-2000-2114.6-3699.3-1000-1679.7-575+6242-250-316-1500-2100-1000-14.4+2237.8</f>
        <v>19993.600000000002</v>
      </c>
      <c r="G70" s="41"/>
      <c r="H70" s="41"/>
      <c r="I70" s="41"/>
      <c r="J70" s="26"/>
      <c r="K70" s="57">
        <f t="shared" si="5"/>
        <v>19993.600000000002</v>
      </c>
      <c r="L70" s="172"/>
      <c r="M70" s="23">
        <f>L70-C70</f>
        <v>-19993.600000000002</v>
      </c>
    </row>
    <row r="71" spans="1:13" ht="12.75">
      <c r="A71" s="63" t="s">
        <v>386</v>
      </c>
      <c r="B71" s="66" t="s">
        <v>387</v>
      </c>
      <c r="C71" s="41">
        <f>D71+E71+F71</f>
        <v>1000</v>
      </c>
      <c r="D71" s="26"/>
      <c r="E71" s="26"/>
      <c r="F71" s="41">
        <v>1000</v>
      </c>
      <c r="G71" s="41"/>
      <c r="H71" s="41"/>
      <c r="I71" s="41"/>
      <c r="J71" s="26"/>
      <c r="K71" s="57">
        <f t="shared" si="5"/>
        <v>1000</v>
      </c>
      <c r="L71" s="172"/>
      <c r="M71" s="23"/>
    </row>
    <row r="72" spans="1:30" ht="39" customHeight="1">
      <c r="A72" s="63" t="s">
        <v>55</v>
      </c>
      <c r="B72" s="22" t="s">
        <v>56</v>
      </c>
      <c r="C72" s="41"/>
      <c r="D72" s="26"/>
      <c r="E72" s="26"/>
      <c r="F72" s="41"/>
      <c r="G72" s="26"/>
      <c r="H72" s="41">
        <f>26507.9+25000+15000+15000+113314.7+1000+2000-1000</f>
        <v>196822.59999999998</v>
      </c>
      <c r="I72" s="41">
        <f>H72</f>
        <v>196822.59999999998</v>
      </c>
      <c r="J72" s="26"/>
      <c r="K72" s="57">
        <f>C72+H72</f>
        <v>196822.59999999998</v>
      </c>
      <c r="L72" s="172"/>
      <c r="M72" s="23">
        <f>L72-C72</f>
        <v>0</v>
      </c>
      <c r="N72" s="41">
        <f>O72+P72+Q72</f>
        <v>0</v>
      </c>
      <c r="O72" s="26"/>
      <c r="P72" s="26"/>
      <c r="Q72" s="41"/>
      <c r="R72" s="26"/>
      <c r="S72" s="41">
        <f>T72</f>
        <v>49600.4</v>
      </c>
      <c r="T72" s="41">
        <f>17000+1500.4-4000+4000+600+30500</f>
        <v>49600.4</v>
      </c>
      <c r="U72" s="26"/>
      <c r="V72" s="57">
        <f>N72+S72</f>
        <v>49600.4</v>
      </c>
      <c r="W72" s="269">
        <f aca="true" t="shared" si="6" ref="W72:AC72">C72-N72</f>
        <v>0</v>
      </c>
      <c r="X72" s="269">
        <f t="shared" si="6"/>
        <v>0</v>
      </c>
      <c r="Y72" s="269">
        <f t="shared" si="6"/>
        <v>0</v>
      </c>
      <c r="Z72" s="269">
        <f t="shared" si="6"/>
        <v>0</v>
      </c>
      <c r="AA72" s="269">
        <f t="shared" si="6"/>
        <v>0</v>
      </c>
      <c r="AB72" s="269">
        <f t="shared" si="6"/>
        <v>147222.19999999998</v>
      </c>
      <c r="AC72" s="269">
        <f t="shared" si="6"/>
        <v>147222.19999999998</v>
      </c>
      <c r="AD72" s="269">
        <f>K72-V72</f>
        <v>147222.19999999998</v>
      </c>
    </row>
    <row r="73" spans="1:30" ht="25.5" hidden="1">
      <c r="A73" s="63" t="s">
        <v>402</v>
      </c>
      <c r="B73" s="22" t="s">
        <v>403</v>
      </c>
      <c r="C73" s="41">
        <f>D73+E73+F73</f>
        <v>0</v>
      </c>
      <c r="D73" s="26"/>
      <c r="E73" s="26"/>
      <c r="F73" s="41">
        <f>297-180-30-87</f>
        <v>0</v>
      </c>
      <c r="G73" s="26"/>
      <c r="H73" s="41"/>
      <c r="I73" s="41"/>
      <c r="J73" s="26"/>
      <c r="K73" s="57">
        <f>C73+H73</f>
        <v>0</v>
      </c>
      <c r="L73" s="172"/>
      <c r="M73" s="23"/>
      <c r="N73" s="340"/>
      <c r="O73" s="242"/>
      <c r="P73" s="242"/>
      <c r="Q73" s="340"/>
      <c r="R73" s="242"/>
      <c r="S73" s="340"/>
      <c r="T73" s="340"/>
      <c r="U73" s="242"/>
      <c r="V73" s="340"/>
      <c r="W73" s="269"/>
      <c r="X73" s="269"/>
      <c r="Y73" s="269"/>
      <c r="Z73" s="269"/>
      <c r="AA73" s="269"/>
      <c r="AB73" s="269"/>
      <c r="AC73" s="269"/>
      <c r="AD73" s="269"/>
    </row>
    <row r="74" spans="1:13" s="18" customFormat="1" ht="33.75" customHeight="1">
      <c r="A74" s="63">
        <v>210000</v>
      </c>
      <c r="B74" s="52" t="s">
        <v>57</v>
      </c>
      <c r="C74" s="41">
        <f>D74+E74+F74</f>
        <v>4383.9</v>
      </c>
      <c r="D74" s="41"/>
      <c r="E74" s="41"/>
      <c r="F74" s="41">
        <f>1220+30.9+1000+210+1500+368+55</f>
        <v>4383.9</v>
      </c>
      <c r="G74" s="41"/>
      <c r="H74" s="41"/>
      <c r="I74" s="41"/>
      <c r="J74" s="41"/>
      <c r="K74" s="57">
        <f t="shared" si="5"/>
        <v>4383.9</v>
      </c>
      <c r="L74" s="175"/>
      <c r="M74" s="23">
        <f>L74-C74</f>
        <v>-4383.9</v>
      </c>
    </row>
    <row r="75" spans="1:13" s="18" customFormat="1" ht="13.5" customHeight="1">
      <c r="A75" s="56">
        <v>240000</v>
      </c>
      <c r="B75" s="22" t="s">
        <v>245</v>
      </c>
      <c r="C75" s="41">
        <f>C76</f>
        <v>0</v>
      </c>
      <c r="D75" s="123">
        <f>D76</f>
        <v>0</v>
      </c>
      <c r="E75" s="123">
        <f>E76</f>
        <v>0</v>
      </c>
      <c r="F75" s="123">
        <f>F76</f>
        <v>0</v>
      </c>
      <c r="G75" s="123"/>
      <c r="H75" s="41">
        <f>H76</f>
        <v>90471.5</v>
      </c>
      <c r="I75" s="41"/>
      <c r="J75" s="41"/>
      <c r="K75" s="57">
        <f t="shared" si="5"/>
        <v>90471.5</v>
      </c>
      <c r="L75" s="173"/>
      <c r="M75" s="23">
        <f>L75-C75</f>
        <v>0</v>
      </c>
    </row>
    <row r="76" spans="1:16" ht="70.5" customHeight="1">
      <c r="A76" s="58" t="s">
        <v>296</v>
      </c>
      <c r="B76" s="20" t="s">
        <v>246</v>
      </c>
      <c r="C76" s="130">
        <f aca="true" t="shared" si="7" ref="C76:C81">D76+E76+F76</f>
        <v>0</v>
      </c>
      <c r="D76" s="130"/>
      <c r="E76" s="130"/>
      <c r="F76" s="130"/>
      <c r="G76" s="130"/>
      <c r="H76" s="26">
        <f>105400-15828.5+900</f>
        <v>90471.5</v>
      </c>
      <c r="I76" s="26"/>
      <c r="J76" s="26"/>
      <c r="K76" s="59">
        <f t="shared" si="5"/>
        <v>90471.5</v>
      </c>
      <c r="L76" s="172"/>
      <c r="M76" s="23">
        <f>L76-C76</f>
        <v>0</v>
      </c>
      <c r="N76" s="3">
        <f>106400</f>
        <v>106400</v>
      </c>
      <c r="O76" s="28"/>
      <c r="P76" s="3">
        <v>1000</v>
      </c>
    </row>
    <row r="77" spans="1:13" s="18" customFormat="1" ht="12.75">
      <c r="A77" s="63">
        <v>250000</v>
      </c>
      <c r="B77" s="66" t="s">
        <v>247</v>
      </c>
      <c r="C77" s="41">
        <f>D77+E77+F77+G77</f>
        <v>412525.8</v>
      </c>
      <c r="D77" s="61">
        <f>D78+D81+D79</f>
        <v>0</v>
      </c>
      <c r="E77" s="61">
        <f>E78+E81+E79</f>
        <v>0</v>
      </c>
      <c r="F77" s="61">
        <f>F78+F81+F79+F80</f>
        <v>412502.8</v>
      </c>
      <c r="G77" s="61">
        <f>G78+G81+G79+G80</f>
        <v>23</v>
      </c>
      <c r="H77" s="61">
        <f>H80</f>
        <v>10606.599999999997</v>
      </c>
      <c r="I77" s="61">
        <f>I80</f>
        <v>270</v>
      </c>
      <c r="J77" s="61" t="e">
        <f>J78+#REF!+J81+J79+#REF!</f>
        <v>#REF!</v>
      </c>
      <c r="K77" s="62">
        <f>C77+H77</f>
        <v>423132.39999999997</v>
      </c>
      <c r="L77" s="173"/>
      <c r="M77" s="23"/>
    </row>
    <row r="78" spans="1:13" ht="15.75" customHeight="1">
      <c r="A78" s="64">
        <v>250102</v>
      </c>
      <c r="B78" s="17" t="s">
        <v>248</v>
      </c>
      <c r="C78" s="26">
        <f t="shared" si="7"/>
        <v>7500</v>
      </c>
      <c r="D78" s="26"/>
      <c r="E78" s="26"/>
      <c r="F78" s="26">
        <f>10000-1500-1000</f>
        <v>7500</v>
      </c>
      <c r="G78" s="26"/>
      <c r="H78" s="26"/>
      <c r="I78" s="26"/>
      <c r="J78" s="26"/>
      <c r="K78" s="59">
        <f t="shared" si="5"/>
        <v>7500</v>
      </c>
      <c r="L78" s="172"/>
      <c r="M78" s="23">
        <f>L78-C78</f>
        <v>-7500</v>
      </c>
    </row>
    <row r="79" spans="1:13" ht="26.25" customHeight="1">
      <c r="A79" s="64">
        <v>250306</v>
      </c>
      <c r="B79" s="17" t="s">
        <v>253</v>
      </c>
      <c r="C79" s="26">
        <f>D79+E79+F79+G79</f>
        <v>396416.8</v>
      </c>
      <c r="D79" s="26"/>
      <c r="E79" s="26"/>
      <c r="F79" s="26">
        <f>60732-17000+26507.9+25000-98.6+5000+270+6719+15000+20000+21023.4+100000+15000+1314+133.2+112479.7-150+2486.2+1000+2000-1000</f>
        <v>396416.8</v>
      </c>
      <c r="G79" s="26"/>
      <c r="H79" s="26"/>
      <c r="I79" s="26"/>
      <c r="J79" s="26"/>
      <c r="K79" s="59">
        <f t="shared" si="5"/>
        <v>396416.8</v>
      </c>
      <c r="L79" s="172"/>
      <c r="M79" s="23">
        <f>L79-C79</f>
        <v>-396416.8</v>
      </c>
    </row>
    <row r="80" spans="1:13" ht="26.25" customHeight="1">
      <c r="A80" s="64" t="s">
        <v>58</v>
      </c>
      <c r="B80" s="17" t="s">
        <v>316</v>
      </c>
      <c r="C80" s="26">
        <f>D80+E80+F80+G80</f>
        <v>7417.8</v>
      </c>
      <c r="D80" s="26"/>
      <c r="E80" s="26"/>
      <c r="F80" s="26">
        <f>7270.1+124.7</f>
        <v>7394.8</v>
      </c>
      <c r="G80" s="26">
        <f>21.7+1.3</f>
        <v>23</v>
      </c>
      <c r="H80" s="26">
        <f>9916.3+684.8-98.6+78.8+25.3</f>
        <v>10606.599999999997</v>
      </c>
      <c r="I80" s="26">
        <v>270</v>
      </c>
      <c r="J80" s="26"/>
      <c r="K80" s="59">
        <f t="shared" si="5"/>
        <v>18024.399999999998</v>
      </c>
      <c r="L80" s="172"/>
      <c r="M80" s="23"/>
    </row>
    <row r="81" spans="1:16" ht="12.75">
      <c r="A81" s="64">
        <v>250404</v>
      </c>
      <c r="B81" s="17" t="s">
        <v>249</v>
      </c>
      <c r="C81" s="26">
        <f t="shared" si="7"/>
        <v>1191.2</v>
      </c>
      <c r="D81" s="26"/>
      <c r="E81" s="26"/>
      <c r="F81" s="26">
        <f>691.2+500</f>
        <v>1191.2</v>
      </c>
      <c r="G81" s="26"/>
      <c r="H81" s="26"/>
      <c r="I81" s="26"/>
      <c r="J81" s="26"/>
      <c r="K81" s="59">
        <f t="shared" si="5"/>
        <v>1191.2</v>
      </c>
      <c r="L81" s="172"/>
      <c r="M81" s="23">
        <f aca="true" t="shared" si="8" ref="M81:M96">L81-C81</f>
        <v>-1191.2</v>
      </c>
      <c r="P81" s="28"/>
    </row>
    <row r="82" spans="1:14" s="18" customFormat="1" ht="18" customHeight="1">
      <c r="A82" s="63"/>
      <c r="B82" s="22" t="s">
        <v>250</v>
      </c>
      <c r="C82" s="41">
        <f>C77+C75+C74+C70+C67+C60+C59+C55+C49+C42+C25+C18+C15+C13+C69+C71+C73+C66</f>
        <v>2132505.3</v>
      </c>
      <c r="D82" s="41">
        <f>D77+D75+D74+D70+D67+D60+D59+D55+D49+D42+D25+D18+D15+D13+D69+D74</f>
        <v>596777.8</v>
      </c>
      <c r="E82" s="41">
        <f>E77+E75+E74+E70+E67+E60+E59+E55+E49+E42+E25+E18+E15+E13+E69+E74</f>
        <v>152916.39999999997</v>
      </c>
      <c r="F82" s="41">
        <f>F77+F75+F74+F70+F67+F60+F59+F55+F49+F42+F25+F18+F15+F13+F69+F71+F73+F66</f>
        <v>1377294.1999999997</v>
      </c>
      <c r="G82" s="41">
        <f>G77+G75+G74+G70+G67+G60+G59+G55+G49+G42+G25+G18+G15+G13+G69</f>
        <v>5516.9</v>
      </c>
      <c r="H82" s="41">
        <f>H77+H75+H74+H70+H67+H60+H59+H55+H49+H42+H25+H18+H15+H13+H72</f>
        <v>636803.2</v>
      </c>
      <c r="I82" s="41">
        <f>I77+I75+I74+I70+I67+I60+I59+I55+I49+I42+I25+I18+I15+I13+I72</f>
        <v>382323.6</v>
      </c>
      <c r="J82" s="41" t="e">
        <f>J77+J76+#REF!+#REF!+J74+#REF!+#REF!+J70+J67+J60+J59+J55+J49+J42+J25+J18+J15+#REF!+J13+#REF!+#REF!+#REF!</f>
        <v>#REF!</v>
      </c>
      <c r="K82" s="57">
        <f>K77+K76+K70+K67+K60+K59+K55+K49+K42+K25+K18+K15+K13+K69+K74+K72+K71+K73+K66</f>
        <v>2769308.5</v>
      </c>
      <c r="L82" s="175"/>
      <c r="M82" s="23">
        <f t="shared" si="8"/>
        <v>-2132505.3</v>
      </c>
      <c r="N82" s="177"/>
    </row>
    <row r="83" spans="1:13" s="18" customFormat="1" ht="40.5" customHeight="1">
      <c r="A83" s="64" t="s">
        <v>283</v>
      </c>
      <c r="B83" s="42" t="s">
        <v>284</v>
      </c>
      <c r="C83" s="26">
        <f aca="true" t="shared" si="9" ref="C83:C97">D83+E83+F83</f>
        <v>164858.6</v>
      </c>
      <c r="D83" s="41"/>
      <c r="E83" s="41"/>
      <c r="F83" s="26">
        <f>46445.6+575+2100+115738</f>
        <v>164858.6</v>
      </c>
      <c r="G83" s="26"/>
      <c r="H83" s="41"/>
      <c r="I83" s="41"/>
      <c r="J83" s="41"/>
      <c r="K83" s="59">
        <f aca="true" t="shared" si="10" ref="K83:K103">C83+H83</f>
        <v>164858.6</v>
      </c>
      <c r="L83" s="175"/>
      <c r="M83" s="23">
        <f t="shared" si="8"/>
        <v>-164858.6</v>
      </c>
    </row>
    <row r="84" spans="1:13" ht="54" customHeight="1">
      <c r="A84" s="64" t="s">
        <v>100</v>
      </c>
      <c r="B84" s="68" t="s">
        <v>97</v>
      </c>
      <c r="C84" s="26">
        <f t="shared" si="9"/>
        <v>16467.9</v>
      </c>
      <c r="D84" s="41"/>
      <c r="E84" s="41"/>
      <c r="F84" s="26">
        <v>16467.9</v>
      </c>
      <c r="G84" s="26"/>
      <c r="H84" s="41"/>
      <c r="I84" s="41"/>
      <c r="J84" s="41"/>
      <c r="K84" s="59">
        <f t="shared" si="10"/>
        <v>16467.9</v>
      </c>
      <c r="L84" s="172"/>
      <c r="M84" s="23">
        <f t="shared" si="8"/>
        <v>-16467.9</v>
      </c>
    </row>
    <row r="85" spans="1:13" ht="53.25" customHeight="1">
      <c r="A85" s="64" t="s">
        <v>4</v>
      </c>
      <c r="B85" s="68" t="s">
        <v>2</v>
      </c>
      <c r="C85" s="26">
        <f t="shared" si="9"/>
        <v>1377580.6999999997</v>
      </c>
      <c r="D85" s="41"/>
      <c r="E85" s="41"/>
      <c r="F85" s="43">
        <f>1319445.9+49848.9+8285.9</f>
        <v>1377580.6999999997</v>
      </c>
      <c r="G85" s="43"/>
      <c r="H85" s="41"/>
      <c r="I85" s="41"/>
      <c r="J85" s="41"/>
      <c r="K85" s="59">
        <f t="shared" si="10"/>
        <v>1377580.6999999997</v>
      </c>
      <c r="L85" s="172"/>
      <c r="M85" s="23">
        <f t="shared" si="8"/>
        <v>-1377580.6999999997</v>
      </c>
    </row>
    <row r="86" spans="1:13" ht="66" customHeight="1">
      <c r="A86" s="64" t="s">
        <v>60</v>
      </c>
      <c r="B86" s="143" t="s">
        <v>82</v>
      </c>
      <c r="C86" s="26">
        <f t="shared" si="9"/>
        <v>185051.09999999998</v>
      </c>
      <c r="D86" s="165"/>
      <c r="E86" s="165"/>
      <c r="F86" s="137">
        <f>279217.8-94166.7</f>
        <v>185051.09999999998</v>
      </c>
      <c r="G86" s="137"/>
      <c r="H86" s="43">
        <v>431291.4</v>
      </c>
      <c r="I86" s="165"/>
      <c r="J86" s="165"/>
      <c r="K86" s="166">
        <f t="shared" si="10"/>
        <v>616342.5</v>
      </c>
      <c r="L86" s="172"/>
      <c r="M86" s="23">
        <f t="shared" si="8"/>
        <v>-185051.09999999998</v>
      </c>
    </row>
    <row r="87" spans="1:13" ht="115.5" customHeight="1">
      <c r="A87" s="116" t="s">
        <v>61</v>
      </c>
      <c r="B87" s="349" t="s">
        <v>276</v>
      </c>
      <c r="C87" s="26">
        <f t="shared" si="9"/>
        <v>195523.4</v>
      </c>
      <c r="D87" s="41"/>
      <c r="E87" s="41"/>
      <c r="F87" s="43">
        <f>147643.8+47879.6</f>
        <v>195523.4</v>
      </c>
      <c r="G87" s="43"/>
      <c r="H87" s="41"/>
      <c r="I87" s="41"/>
      <c r="J87" s="41"/>
      <c r="K87" s="59">
        <f t="shared" si="10"/>
        <v>195523.4</v>
      </c>
      <c r="L87" s="172"/>
      <c r="M87" s="23">
        <f t="shared" si="8"/>
        <v>-195523.4</v>
      </c>
    </row>
    <row r="88" spans="1:13" s="18" customFormat="1" ht="76.5">
      <c r="A88" s="114" t="s">
        <v>62</v>
      </c>
      <c r="B88" s="65" t="s">
        <v>5</v>
      </c>
      <c r="C88" s="26">
        <f t="shared" si="9"/>
        <v>23241.9</v>
      </c>
      <c r="D88" s="113"/>
      <c r="E88" s="113"/>
      <c r="F88" s="137">
        <f>31741.9-8500</f>
        <v>23241.9</v>
      </c>
      <c r="G88" s="248"/>
      <c r="H88" s="113"/>
      <c r="I88" s="113"/>
      <c r="J88" s="113"/>
      <c r="K88" s="115">
        <f t="shared" si="10"/>
        <v>23241.9</v>
      </c>
      <c r="L88" s="175"/>
      <c r="M88" s="23">
        <f t="shared" si="8"/>
        <v>-23241.9</v>
      </c>
    </row>
    <row r="89" spans="1:13" s="18" customFormat="1" ht="117" customHeight="1">
      <c r="A89" s="114" t="s">
        <v>432</v>
      </c>
      <c r="B89" s="65" t="s">
        <v>433</v>
      </c>
      <c r="C89" s="113"/>
      <c r="D89" s="113"/>
      <c r="E89" s="113"/>
      <c r="F89" s="137"/>
      <c r="G89" s="248"/>
      <c r="H89" s="113">
        <v>7721.8</v>
      </c>
      <c r="I89" s="113"/>
      <c r="J89" s="113"/>
      <c r="K89" s="115">
        <f t="shared" si="10"/>
        <v>7721.8</v>
      </c>
      <c r="L89" s="175"/>
      <c r="M89" s="23"/>
    </row>
    <row r="90" spans="1:13" s="18" customFormat="1" ht="89.25">
      <c r="A90" s="64" t="s">
        <v>225</v>
      </c>
      <c r="B90" s="45" t="s">
        <v>305</v>
      </c>
      <c r="C90" s="113">
        <f>D90+E90+F90</f>
        <v>28237.4</v>
      </c>
      <c r="D90" s="26"/>
      <c r="E90" s="26"/>
      <c r="F90" s="26">
        <v>28237.4</v>
      </c>
      <c r="G90" s="26"/>
      <c r="H90" s="26"/>
      <c r="I90" s="26"/>
      <c r="J90" s="26"/>
      <c r="K90" s="115">
        <f t="shared" si="10"/>
        <v>28237.4</v>
      </c>
      <c r="L90" s="173"/>
      <c r="M90" s="23">
        <f t="shared" si="8"/>
        <v>-28237.4</v>
      </c>
    </row>
    <row r="91" spans="1:13" s="18" customFormat="1" ht="39.75" customHeight="1">
      <c r="A91" s="408" t="s">
        <v>59</v>
      </c>
      <c r="B91" s="65" t="s">
        <v>111</v>
      </c>
      <c r="C91" s="113">
        <f>D91+E91+F91</f>
        <v>876.4</v>
      </c>
      <c r="D91" s="26"/>
      <c r="E91" s="26"/>
      <c r="F91" s="26">
        <f>SUM(F92:F97)</f>
        <v>876.4</v>
      </c>
      <c r="G91" s="26"/>
      <c r="H91" s="26">
        <f>SUM(H94:H97)</f>
        <v>17791.1</v>
      </c>
      <c r="I91" s="26"/>
      <c r="J91" s="26"/>
      <c r="K91" s="115">
        <f>C91+H91</f>
        <v>18667.5</v>
      </c>
      <c r="L91" s="175"/>
      <c r="M91" s="23">
        <f t="shared" si="8"/>
        <v>-876.4</v>
      </c>
    </row>
    <row r="92" spans="1:13" s="18" customFormat="1" ht="25.5" hidden="1">
      <c r="A92" s="409"/>
      <c r="B92" s="65" t="s">
        <v>431</v>
      </c>
      <c r="C92" s="113">
        <f>D92+E92+F92</f>
        <v>0</v>
      </c>
      <c r="D92" s="26"/>
      <c r="E92" s="26"/>
      <c r="F92" s="26">
        <f>300-300</f>
        <v>0</v>
      </c>
      <c r="G92" s="26"/>
      <c r="H92" s="26"/>
      <c r="I92" s="26"/>
      <c r="J92" s="26"/>
      <c r="K92" s="115">
        <f>C92+H92</f>
        <v>0</v>
      </c>
      <c r="L92" s="175"/>
      <c r="M92" s="23"/>
    </row>
    <row r="93" spans="1:13" s="18" customFormat="1" ht="39.75" customHeight="1" hidden="1">
      <c r="A93" s="409"/>
      <c r="B93" s="65" t="s">
        <v>422</v>
      </c>
      <c r="C93" s="113">
        <f>D93+E93+F93</f>
        <v>0</v>
      </c>
      <c r="D93" s="26"/>
      <c r="E93" s="26"/>
      <c r="F93" s="26">
        <f>368-368</f>
        <v>0</v>
      </c>
      <c r="G93" s="26"/>
      <c r="H93" s="26"/>
      <c r="I93" s="26"/>
      <c r="J93" s="26"/>
      <c r="K93" s="115">
        <f>C93+H93</f>
        <v>0</v>
      </c>
      <c r="L93" s="175"/>
      <c r="M93" s="23"/>
    </row>
    <row r="94" spans="1:13" s="18" customFormat="1" ht="14.25" customHeight="1">
      <c r="A94" s="409"/>
      <c r="B94" s="65" t="s">
        <v>277</v>
      </c>
      <c r="C94" s="113">
        <f t="shared" si="9"/>
        <v>257.5</v>
      </c>
      <c r="D94" s="26"/>
      <c r="E94" s="26"/>
      <c r="F94" s="26">
        <v>257.5</v>
      </c>
      <c r="G94" s="26"/>
      <c r="H94" s="26"/>
      <c r="I94" s="26"/>
      <c r="J94" s="26"/>
      <c r="K94" s="115">
        <f t="shared" si="10"/>
        <v>257.5</v>
      </c>
      <c r="L94" s="173"/>
      <c r="M94" s="23">
        <f t="shared" si="8"/>
        <v>-257.5</v>
      </c>
    </row>
    <row r="95" spans="1:13" s="18" customFormat="1" ht="38.25">
      <c r="A95" s="409"/>
      <c r="B95" s="17" t="s">
        <v>401</v>
      </c>
      <c r="C95" s="113">
        <f t="shared" si="9"/>
        <v>69.9</v>
      </c>
      <c r="D95" s="26"/>
      <c r="E95" s="26"/>
      <c r="F95" s="26">
        <v>69.9</v>
      </c>
      <c r="G95" s="26"/>
      <c r="H95" s="26"/>
      <c r="I95" s="26"/>
      <c r="J95" s="26"/>
      <c r="K95" s="115">
        <f t="shared" si="10"/>
        <v>69.9</v>
      </c>
      <c r="L95" s="173"/>
      <c r="M95" s="23">
        <f t="shared" si="8"/>
        <v>-69.9</v>
      </c>
    </row>
    <row r="96" spans="1:13" s="18" customFormat="1" ht="38.25">
      <c r="A96" s="409"/>
      <c r="B96" s="65" t="s">
        <v>429</v>
      </c>
      <c r="C96" s="113"/>
      <c r="D96" s="26"/>
      <c r="E96" s="26"/>
      <c r="F96" s="26"/>
      <c r="G96" s="26"/>
      <c r="H96" s="26">
        <f>1000+15828.5-900</f>
        <v>15928.5</v>
      </c>
      <c r="I96" s="26"/>
      <c r="J96" s="26"/>
      <c r="K96" s="115">
        <f t="shared" si="10"/>
        <v>15928.5</v>
      </c>
      <c r="L96" s="173"/>
      <c r="M96" s="23">
        <f t="shared" si="8"/>
        <v>0</v>
      </c>
    </row>
    <row r="97" spans="1:13" s="18" customFormat="1" ht="38.25">
      <c r="A97" s="409"/>
      <c r="B97" s="65" t="s">
        <v>430</v>
      </c>
      <c r="C97" s="113">
        <f t="shared" si="9"/>
        <v>549</v>
      </c>
      <c r="D97" s="26"/>
      <c r="E97" s="26"/>
      <c r="F97" s="26">
        <v>549</v>
      </c>
      <c r="G97" s="26"/>
      <c r="H97" s="26">
        <v>1862.6</v>
      </c>
      <c r="I97" s="26"/>
      <c r="J97" s="26"/>
      <c r="K97" s="115">
        <f t="shared" si="10"/>
        <v>2411.6</v>
      </c>
      <c r="L97" s="173"/>
      <c r="M97" s="23"/>
    </row>
    <row r="98" spans="1:13" s="18" customFormat="1" ht="103.5" customHeight="1">
      <c r="A98" s="64" t="s">
        <v>286</v>
      </c>
      <c r="B98" s="65" t="s">
        <v>271</v>
      </c>
      <c r="C98" s="26">
        <f>D98+E98+F98</f>
        <v>8533.909</v>
      </c>
      <c r="D98" s="26"/>
      <c r="E98" s="26"/>
      <c r="F98" s="26">
        <f>8611.6+166+256.309-500</f>
        <v>8533.909</v>
      </c>
      <c r="G98" s="26"/>
      <c r="H98" s="26"/>
      <c r="I98" s="26"/>
      <c r="J98" s="26"/>
      <c r="K98" s="59">
        <f t="shared" si="10"/>
        <v>8533.909</v>
      </c>
      <c r="L98" s="173"/>
      <c r="M98" s="23">
        <f>L98-C98</f>
        <v>-8533.909</v>
      </c>
    </row>
    <row r="99" spans="1:13" s="18" customFormat="1" ht="12.75">
      <c r="A99" s="64" t="s">
        <v>63</v>
      </c>
      <c r="B99" s="65" t="s">
        <v>35</v>
      </c>
      <c r="C99" s="26">
        <f>D99+E99+F99</f>
        <v>33350.1</v>
      </c>
      <c r="D99" s="26"/>
      <c r="E99" s="26"/>
      <c r="F99" s="26">
        <f>10000+5000+8000+98.6+340+424.2+250+2000+3699.3+4740+4000+1440-500-2000-500+205+208+575.1+150-2000-205-2000-575.1</f>
        <v>33350.1</v>
      </c>
      <c r="G99" s="26"/>
      <c r="H99" s="26"/>
      <c r="I99" s="26"/>
      <c r="J99" s="26"/>
      <c r="K99" s="59">
        <f t="shared" si="10"/>
        <v>33350.1</v>
      </c>
      <c r="L99" s="178"/>
      <c r="M99" s="23">
        <f>L99-C99</f>
        <v>-33350.1</v>
      </c>
    </row>
    <row r="100" spans="1:13" s="18" customFormat="1" ht="55.5" customHeight="1">
      <c r="A100" s="64" t="s">
        <v>226</v>
      </c>
      <c r="B100" s="65" t="s">
        <v>70</v>
      </c>
      <c r="C100" s="26">
        <f>D100+E100+F100</f>
        <v>300</v>
      </c>
      <c r="D100" s="26"/>
      <c r="E100" s="26"/>
      <c r="F100" s="43">
        <v>300</v>
      </c>
      <c r="G100" s="43"/>
      <c r="H100" s="26"/>
      <c r="I100" s="26"/>
      <c r="J100" s="26"/>
      <c r="K100" s="59">
        <f t="shared" si="10"/>
        <v>300</v>
      </c>
      <c r="L100" s="173"/>
      <c r="M100" s="23">
        <f>L100-C100</f>
        <v>-300</v>
      </c>
    </row>
    <row r="101" spans="1:13" s="18" customFormat="1" ht="128.25" customHeight="1">
      <c r="A101" s="64" t="s">
        <v>308</v>
      </c>
      <c r="B101" s="65" t="s">
        <v>405</v>
      </c>
      <c r="C101" s="26"/>
      <c r="D101" s="26"/>
      <c r="E101" s="26"/>
      <c r="F101" s="26"/>
      <c r="G101" s="26"/>
      <c r="H101" s="26">
        <f>47709+111541+34554.5+25436.9</f>
        <v>219241.4</v>
      </c>
      <c r="I101" s="26"/>
      <c r="J101" s="26"/>
      <c r="K101" s="59">
        <f t="shared" si="10"/>
        <v>219241.4</v>
      </c>
      <c r="L101" s="173"/>
      <c r="M101" s="23"/>
    </row>
    <row r="102" spans="1:13" s="18" customFormat="1" ht="51">
      <c r="A102" s="64" t="s">
        <v>339</v>
      </c>
      <c r="B102" s="65" t="s">
        <v>338</v>
      </c>
      <c r="C102" s="26">
        <f>D102+E102+F102</f>
        <v>477.6000000000001</v>
      </c>
      <c r="D102" s="26"/>
      <c r="E102" s="26"/>
      <c r="F102" s="26">
        <f>236.1+42+18.3+20.1+28.5+91.4+41.2</f>
        <v>477.6000000000001</v>
      </c>
      <c r="G102" s="26"/>
      <c r="H102" s="26"/>
      <c r="I102" s="26"/>
      <c r="J102" s="26"/>
      <c r="K102" s="59">
        <f t="shared" si="10"/>
        <v>477.6000000000001</v>
      </c>
      <c r="L102" s="59"/>
      <c r="M102" s="23"/>
    </row>
    <row r="103" spans="1:59" ht="102">
      <c r="A103" s="233" t="s">
        <v>287</v>
      </c>
      <c r="B103" s="234" t="s">
        <v>311</v>
      </c>
      <c r="C103" s="113">
        <f>D103+E103+F103</f>
        <v>0</v>
      </c>
      <c r="D103" s="113"/>
      <c r="E103" s="113"/>
      <c r="F103" s="113"/>
      <c r="G103" s="113"/>
      <c r="H103" s="113"/>
      <c r="I103" s="113"/>
      <c r="J103" s="113"/>
      <c r="K103" s="117">
        <f t="shared" si="10"/>
        <v>0</v>
      </c>
      <c r="L103" s="174"/>
      <c r="M103" s="179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</row>
    <row r="104" spans="1:13" s="18" customFormat="1" ht="18.75" customHeight="1" thickBot="1">
      <c r="A104" s="390" t="s">
        <v>254</v>
      </c>
      <c r="B104" s="391"/>
      <c r="C104" s="70">
        <f>C82+C83+C84+C85+C86+C87+C88+C90+C98+C99+C100+C103+C91+C102</f>
        <v>4167004.3089999994</v>
      </c>
      <c r="D104" s="70">
        <f>D82+D83+D84+D85+D86+D87+D88+D90+D98+D99+D100+D103</f>
        <v>596777.8</v>
      </c>
      <c r="E104" s="70">
        <f>E82+E83+E84+E85+E86+E87+E88+E90+E98+E99+E100+E103</f>
        <v>152916.39999999997</v>
      </c>
      <c r="F104" s="70">
        <f>F82+F83+F84+F85+F86+F87+F88+F90+F98+F99+F100+F103+F91+F102</f>
        <v>3411793.2089999993</v>
      </c>
      <c r="G104" s="70">
        <f>G82+G83+G84+G85+G86+G87+G88+G90+G98+G99+G100+G103+G91+G102</f>
        <v>5516.9</v>
      </c>
      <c r="H104" s="70">
        <f>H82+H83+H84+H85+H86+H87+H88+H90+H98+H99+H100+H103+H91+H101+H89</f>
        <v>1312848.9000000001</v>
      </c>
      <c r="I104" s="70">
        <f>I82+I83+I84+I85+I86+I87+I88+I90+I98+I99+I100+I103</f>
        <v>382323.6</v>
      </c>
      <c r="J104" s="70" t="e">
        <f>J82+J83+#REF!+J84+J85+J86+J87+J88+J90+J98+J99+J100+J103</f>
        <v>#REF!</v>
      </c>
      <c r="K104" s="70">
        <f>K82+K83+K84+K85+K86+K87+K88+K90+K98+K99+K100+K103+K91+K101+K102+K89</f>
        <v>5479853.209</v>
      </c>
      <c r="L104" s="175"/>
      <c r="M104" s="180"/>
    </row>
    <row r="105" spans="2:13" ht="12.75">
      <c r="B105" s="48" t="s">
        <v>79</v>
      </c>
      <c r="C105" s="181">
        <f>'№1'!C61</f>
        <v>3872494.9349999996</v>
      </c>
      <c r="D105" s="181"/>
      <c r="E105" s="181"/>
      <c r="F105" s="181"/>
      <c r="G105" s="181"/>
      <c r="H105" s="181">
        <f>'№1'!D61</f>
        <v>1312848.9</v>
      </c>
      <c r="I105" s="101">
        <f>'№1'!E61</f>
        <v>382323.60000000003</v>
      </c>
      <c r="J105" s="181"/>
      <c r="K105" s="181">
        <f>'№1'!F61</f>
        <v>5185343.834999999</v>
      </c>
      <c r="L105" s="182"/>
      <c r="M105" s="183"/>
    </row>
    <row r="106" spans="2:13" ht="12.75">
      <c r="B106" s="48" t="s">
        <v>80</v>
      </c>
      <c r="C106" s="21">
        <f>C105-C104</f>
        <v>-294509.37399999984</v>
      </c>
      <c r="D106" s="21"/>
      <c r="E106" s="21"/>
      <c r="F106" s="21"/>
      <c r="G106" s="21"/>
      <c r="H106" s="21">
        <f>H105-H104</f>
        <v>0</v>
      </c>
      <c r="I106" s="21">
        <f>I105-I104</f>
        <v>0</v>
      </c>
      <c r="J106" s="21"/>
      <c r="K106" s="21">
        <f>K105-K104</f>
        <v>-294509.37400000077</v>
      </c>
      <c r="L106" s="21"/>
      <c r="M106" s="69"/>
    </row>
    <row r="107" spans="2:13" ht="12.75">
      <c r="B107" s="48"/>
      <c r="C107" s="21"/>
      <c r="D107" s="21"/>
      <c r="E107" s="21"/>
      <c r="F107" s="21"/>
      <c r="G107" s="21"/>
      <c r="H107" s="21"/>
      <c r="I107" s="21"/>
      <c r="J107" s="21"/>
      <c r="K107" s="69"/>
      <c r="L107" s="21"/>
      <c r="M107" s="69"/>
    </row>
    <row r="108" spans="2:9" ht="12.75">
      <c r="B108" s="48"/>
      <c r="C108" s="28"/>
      <c r="H108" s="28"/>
      <c r="I108" s="28"/>
    </row>
    <row r="109" spans="2:11" ht="12.75">
      <c r="B109" s="48"/>
      <c r="C109" s="28"/>
      <c r="D109" s="28"/>
      <c r="E109" s="28"/>
      <c r="F109" s="28"/>
      <c r="G109" s="28"/>
      <c r="H109" s="28"/>
      <c r="I109" s="28"/>
      <c r="K109" s="28"/>
    </row>
    <row r="110" spans="2:11" ht="12.75">
      <c r="B110" s="48"/>
      <c r="C110" s="28"/>
      <c r="D110" s="28"/>
      <c r="E110" s="28"/>
      <c r="F110" s="28"/>
      <c r="G110" s="28"/>
      <c r="H110" s="28"/>
      <c r="K110" s="28"/>
    </row>
    <row r="111" spans="2:12" ht="12.75">
      <c r="B111" s="48"/>
      <c r="C111" s="29"/>
      <c r="L111" s="28"/>
    </row>
    <row r="112" spans="2:11" ht="12.75">
      <c r="B112" s="48"/>
      <c r="C112" s="28"/>
      <c r="K112" s="28"/>
    </row>
    <row r="113" spans="2:11" ht="12.75">
      <c r="B113" s="48"/>
      <c r="C113" s="28"/>
      <c r="K113" s="28"/>
    </row>
    <row r="114" spans="2:8" ht="12.75">
      <c r="B114" s="48"/>
      <c r="H114" s="28"/>
    </row>
    <row r="115" spans="2:8" ht="12.75">
      <c r="B115" s="48"/>
      <c r="H115" s="28"/>
    </row>
    <row r="116" ht="12.75">
      <c r="B116" s="48"/>
    </row>
    <row r="117" spans="2:8" ht="12.75">
      <c r="B117" s="48"/>
      <c r="H117" s="28"/>
    </row>
    <row r="118" spans="2:8" ht="12.75">
      <c r="B118" s="48"/>
      <c r="C118" s="28"/>
      <c r="H118" s="2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 t="s">
        <v>111</v>
      </c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  <row r="469" ht="12.75">
      <c r="B469" s="48"/>
    </row>
    <row r="470" ht="12.75">
      <c r="B470" s="48"/>
    </row>
    <row r="471" ht="12.75">
      <c r="B471" s="48"/>
    </row>
    <row r="472" ht="12.75">
      <c r="B472" s="48"/>
    </row>
    <row r="473" ht="12.75">
      <c r="B473" s="48"/>
    </row>
    <row r="474" ht="12.75">
      <c r="B474" s="48"/>
    </row>
    <row r="475" ht="12.75">
      <c r="B475" s="48"/>
    </row>
    <row r="476" ht="12.75">
      <c r="B476" s="48"/>
    </row>
    <row r="477" ht="12.75">
      <c r="B477" s="48"/>
    </row>
    <row r="478" ht="12.75">
      <c r="B478" s="48"/>
    </row>
    <row r="479" ht="12.75">
      <c r="B479" s="48"/>
    </row>
    <row r="480" ht="12.75">
      <c r="B480" s="48"/>
    </row>
    <row r="481" ht="12.75">
      <c r="B481" s="48"/>
    </row>
    <row r="482" ht="12.75">
      <c r="B482" s="48"/>
    </row>
    <row r="483" ht="12.75">
      <c r="B483" s="48"/>
    </row>
    <row r="484" ht="12.75">
      <c r="B484" s="48"/>
    </row>
    <row r="485" ht="12.75">
      <c r="B485" s="48"/>
    </row>
    <row r="486" ht="12.75">
      <c r="B486" s="48"/>
    </row>
    <row r="487" ht="12.75">
      <c r="B487" s="48"/>
    </row>
    <row r="488" ht="12.75">
      <c r="B488" s="48"/>
    </row>
    <row r="489" ht="12.75">
      <c r="B489" s="48"/>
    </row>
    <row r="490" ht="12.75">
      <c r="B490" s="48"/>
    </row>
    <row r="491" ht="12.75">
      <c r="B491" s="48"/>
    </row>
    <row r="492" ht="12.75">
      <c r="B492" s="48"/>
    </row>
  </sheetData>
  <mergeCells count="17">
    <mergeCell ref="F1:I1"/>
    <mergeCell ref="F2:I2"/>
    <mergeCell ref="F3:I3"/>
    <mergeCell ref="A91:A97"/>
    <mergeCell ref="C9:G9"/>
    <mergeCell ref="D10:G10"/>
    <mergeCell ref="A6:K6"/>
    <mergeCell ref="A104:B104"/>
    <mergeCell ref="A7:K7"/>
    <mergeCell ref="A9:A11"/>
    <mergeCell ref="B9:B11"/>
    <mergeCell ref="H9:J9"/>
    <mergeCell ref="K9:K11"/>
    <mergeCell ref="C10:C11"/>
    <mergeCell ref="H10:H11"/>
    <mergeCell ref="J10:J11"/>
    <mergeCell ref="A23:A2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8"/>
  <sheetViews>
    <sheetView view="pageBreakPreview" zoomScale="75" zoomScaleNormal="75" zoomScaleSheetLayoutView="75" workbookViewId="0" topLeftCell="A7">
      <pane xSplit="2" ySplit="8" topLeftCell="C66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K133" sqref="K133"/>
    </sheetView>
  </sheetViews>
  <sheetFormatPr defaultColWidth="9.00390625" defaultRowHeight="12.75"/>
  <cols>
    <col min="1" max="1" width="8.25390625" style="54" customWidth="1"/>
    <col min="2" max="2" width="54.875" style="30" customWidth="1"/>
    <col min="3" max="3" width="14.25390625" style="3" customWidth="1"/>
    <col min="4" max="4" width="10.375" style="3" customWidth="1"/>
    <col min="5" max="5" width="10.125" style="3" customWidth="1"/>
    <col min="6" max="7" width="11.875" style="3" customWidth="1"/>
    <col min="8" max="8" width="11.625" style="3" bestFit="1" customWidth="1"/>
    <col min="9" max="9" width="10.375" style="3" customWidth="1"/>
    <col min="10" max="10" width="7.00390625" style="3" hidden="1" customWidth="1"/>
    <col min="11" max="11" width="12.375" style="3" customWidth="1"/>
    <col min="12" max="12" width="13.125" style="31" customWidth="1"/>
    <col min="13" max="13" width="14.625" style="31" customWidth="1"/>
    <col min="14" max="14" width="10.375" style="31" bestFit="1" customWidth="1"/>
    <col min="15" max="59" width="8.875" style="31" customWidth="1"/>
    <col min="60" max="16384" width="8.875" style="3" customWidth="1"/>
  </cols>
  <sheetData>
    <row r="1" spans="6:11" ht="13.5" customHeight="1" hidden="1">
      <c r="F1" s="417"/>
      <c r="G1" s="417"/>
      <c r="H1" s="417"/>
      <c r="I1" s="417"/>
      <c r="J1" s="417"/>
      <c r="K1" s="417"/>
    </row>
    <row r="2" spans="6:11" ht="13.5" customHeight="1" hidden="1">
      <c r="F2" s="5"/>
      <c r="G2" s="5"/>
      <c r="H2" s="5"/>
      <c r="I2" s="5"/>
      <c r="J2" s="5"/>
      <c r="K2" s="5"/>
    </row>
    <row r="3" spans="6:11" ht="13.5" customHeight="1" hidden="1">
      <c r="F3" s="4" t="s">
        <v>255</v>
      </c>
      <c r="G3" s="4"/>
      <c r="H3" s="4"/>
      <c r="I3" s="4"/>
      <c r="J3" s="4"/>
      <c r="K3" s="4"/>
    </row>
    <row r="4" spans="5:10" ht="15.75">
      <c r="E4" s="32" t="s">
        <v>256</v>
      </c>
      <c r="F4" s="244" t="s">
        <v>257</v>
      </c>
      <c r="G4" s="244"/>
      <c r="H4" s="9"/>
      <c r="I4" s="9"/>
      <c r="J4" s="9"/>
    </row>
    <row r="5" spans="6:10" ht="15.75">
      <c r="F5" s="245" t="s">
        <v>199</v>
      </c>
      <c r="G5" s="245"/>
      <c r="H5" s="5"/>
      <c r="I5" s="5"/>
      <c r="J5" s="5"/>
    </row>
    <row r="6" spans="6:10" ht="12.75">
      <c r="F6" s="188"/>
      <c r="G6" s="188"/>
      <c r="H6" s="188"/>
      <c r="I6" s="188"/>
      <c r="J6" s="188"/>
    </row>
    <row r="7" ht="13.5" customHeight="1"/>
    <row r="8" spans="1:11" ht="15.75">
      <c r="A8" s="392" t="s">
        <v>310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</row>
    <row r="9" spans="1:11" ht="15" customHeight="1">
      <c r="A9" s="392" t="s">
        <v>289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</row>
    <row r="10" spans="8:11" ht="13.5" thickBot="1">
      <c r="H10" s="418" t="s">
        <v>36</v>
      </c>
      <c r="I10" s="418"/>
      <c r="J10" s="418"/>
      <c r="K10" s="418"/>
    </row>
    <row r="11" spans="1:18" ht="24.75" customHeight="1" thickBot="1">
      <c r="A11" s="393" t="s">
        <v>201</v>
      </c>
      <c r="B11" s="419" t="s">
        <v>411</v>
      </c>
      <c r="C11" s="425" t="s">
        <v>203</v>
      </c>
      <c r="D11" s="426"/>
      <c r="E11" s="426"/>
      <c r="F11" s="426"/>
      <c r="G11" s="427"/>
      <c r="H11" s="398" t="s">
        <v>204</v>
      </c>
      <c r="I11" s="399"/>
      <c r="J11" s="400"/>
      <c r="K11" s="404" t="s">
        <v>205</v>
      </c>
      <c r="R11" s="3"/>
    </row>
    <row r="12" spans="1:11" ht="40.5" customHeight="1" thickBot="1">
      <c r="A12" s="394"/>
      <c r="B12" s="420"/>
      <c r="C12" s="423" t="s">
        <v>206</v>
      </c>
      <c r="D12" s="425" t="s">
        <v>207</v>
      </c>
      <c r="E12" s="426"/>
      <c r="F12" s="426"/>
      <c r="G12" s="427"/>
      <c r="H12" s="423" t="s">
        <v>206</v>
      </c>
      <c r="I12" s="13" t="s">
        <v>208</v>
      </c>
      <c r="J12" s="404" t="s">
        <v>209</v>
      </c>
      <c r="K12" s="422"/>
    </row>
    <row r="13" spans="1:11" ht="96" customHeight="1" thickBot="1">
      <c r="A13" s="395"/>
      <c r="B13" s="421"/>
      <c r="C13" s="424"/>
      <c r="D13" s="12" t="s">
        <v>210</v>
      </c>
      <c r="E13" s="12" t="s">
        <v>211</v>
      </c>
      <c r="F13" s="12" t="s">
        <v>212</v>
      </c>
      <c r="G13" s="12" t="s">
        <v>345</v>
      </c>
      <c r="H13" s="424"/>
      <c r="I13" s="13" t="s">
        <v>213</v>
      </c>
      <c r="J13" s="405"/>
      <c r="K13" s="405"/>
    </row>
    <row r="14" spans="1:11" ht="13.5" thickBot="1">
      <c r="A14" s="71">
        <v>1</v>
      </c>
      <c r="B14" s="72">
        <v>2</v>
      </c>
      <c r="C14" s="73">
        <v>3</v>
      </c>
      <c r="D14" s="73">
        <v>4</v>
      </c>
      <c r="E14" s="73">
        <v>5</v>
      </c>
      <c r="F14" s="73">
        <v>6</v>
      </c>
      <c r="G14" s="73"/>
      <c r="H14" s="73">
        <v>7</v>
      </c>
      <c r="I14" s="73">
        <v>8</v>
      </c>
      <c r="J14" s="73">
        <v>10</v>
      </c>
      <c r="K14" s="73">
        <v>9</v>
      </c>
    </row>
    <row r="15" spans="1:59" s="34" customFormat="1" ht="12.75">
      <c r="A15" s="74"/>
      <c r="B15" s="75" t="s">
        <v>259</v>
      </c>
      <c r="C15" s="76">
        <f>D15+E15+F15</f>
        <v>26652.100000000002</v>
      </c>
      <c r="D15" s="76">
        <f>D16+D17+D18+D31</f>
        <v>3268.9</v>
      </c>
      <c r="E15" s="76">
        <f>E16+E17+E18+E31</f>
        <v>2947.8</v>
      </c>
      <c r="F15" s="76">
        <f>F16+F17+F18+F31+F25+F24+F21+F20+F28+F27+F19</f>
        <v>20435.4</v>
      </c>
      <c r="G15" s="76"/>
      <c r="H15" s="76">
        <f>H16+H17+H18+H31+H22+H26</f>
        <v>126237.09999999999</v>
      </c>
      <c r="I15" s="76">
        <f>I16+I17+I18+I31+I22+I26</f>
        <v>123033.7</v>
      </c>
      <c r="J15" s="76" t="e">
        <f>J16+J17+J18+#REF!+#REF!+#REF!+#REF!+#REF!+#REF!+J31+#REF!</f>
        <v>#REF!</v>
      </c>
      <c r="K15" s="81">
        <f>C15+H15</f>
        <v>152889.19999999998</v>
      </c>
      <c r="L15" s="184"/>
      <c r="M15" s="18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1:59" ht="12.75">
      <c r="A16" s="58" t="s">
        <v>216</v>
      </c>
      <c r="B16" s="36" t="s">
        <v>217</v>
      </c>
      <c r="C16" s="26">
        <f>D16+E16+F16</f>
        <v>15027.900000000001</v>
      </c>
      <c r="D16" s="21">
        <v>3268.9</v>
      </c>
      <c r="E16" s="21">
        <v>2947.8</v>
      </c>
      <c r="F16" s="21">
        <f>10862.2-2000-51</f>
        <v>8811.2</v>
      </c>
      <c r="G16" s="21"/>
      <c r="H16" s="26">
        <v>150</v>
      </c>
      <c r="I16" s="21"/>
      <c r="J16" s="21"/>
      <c r="K16" s="67">
        <f aca="true" t="shared" si="0" ref="K16:K31">C16+H16</f>
        <v>15177.900000000001</v>
      </c>
      <c r="L16" s="83"/>
      <c r="M16" s="27"/>
      <c r="N16" s="8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21" customHeight="1">
      <c r="A17" s="58" t="s">
        <v>260</v>
      </c>
      <c r="B17" s="36" t="s">
        <v>71</v>
      </c>
      <c r="C17" s="26">
        <f aca="true" t="shared" si="1" ref="C17:C31">D17+E17+F17</f>
        <v>45</v>
      </c>
      <c r="D17" s="21"/>
      <c r="E17" s="21"/>
      <c r="F17" s="21">
        <v>45</v>
      </c>
      <c r="G17" s="21"/>
      <c r="H17" s="26">
        <f>I17</f>
        <v>0</v>
      </c>
      <c r="I17" s="21"/>
      <c r="J17" s="21"/>
      <c r="K17" s="67">
        <f t="shared" si="0"/>
        <v>45</v>
      </c>
      <c r="L17" s="125"/>
      <c r="M17" s="127"/>
      <c r="N17" s="125"/>
      <c r="O17" s="78"/>
      <c r="P17" s="7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ht="18" customHeight="1">
      <c r="A18" s="58" t="s">
        <v>231</v>
      </c>
      <c r="B18" s="20" t="s">
        <v>232</v>
      </c>
      <c r="C18" s="26">
        <f t="shared" si="1"/>
        <v>36</v>
      </c>
      <c r="D18" s="21"/>
      <c r="E18" s="21"/>
      <c r="F18" s="21">
        <v>36</v>
      </c>
      <c r="G18" s="21"/>
      <c r="H18" s="26">
        <f>I18</f>
        <v>0</v>
      </c>
      <c r="I18" s="21"/>
      <c r="J18" s="21"/>
      <c r="K18" s="67">
        <f t="shared" si="0"/>
        <v>36</v>
      </c>
      <c r="L18" s="125"/>
      <c r="M18" s="79"/>
      <c r="N18" s="79"/>
      <c r="O18" s="79"/>
      <c r="P18" s="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13" s="18" customFormat="1" ht="13.5" customHeight="1">
      <c r="A19" s="58" t="s">
        <v>423</v>
      </c>
      <c r="B19" s="17" t="s">
        <v>424</v>
      </c>
      <c r="C19" s="26">
        <f>F19</f>
        <v>200</v>
      </c>
      <c r="D19" s="26"/>
      <c r="E19" s="26"/>
      <c r="F19" s="21">
        <v>200</v>
      </c>
      <c r="G19" s="21"/>
      <c r="H19" s="26"/>
      <c r="I19" s="26"/>
      <c r="J19" s="41"/>
      <c r="K19" s="59">
        <f t="shared" si="0"/>
        <v>200</v>
      </c>
      <c r="L19" s="173"/>
      <c r="M19" s="23"/>
    </row>
    <row r="20" spans="1:59" ht="38.25">
      <c r="A20" s="58" t="s">
        <v>399</v>
      </c>
      <c r="B20" s="20" t="s">
        <v>400</v>
      </c>
      <c r="C20" s="26">
        <f t="shared" si="1"/>
        <v>300</v>
      </c>
      <c r="D20" s="21"/>
      <c r="E20" s="21"/>
      <c r="F20" s="21">
        <v>300</v>
      </c>
      <c r="G20" s="21"/>
      <c r="H20" s="26"/>
      <c r="I20" s="21"/>
      <c r="J20" s="21"/>
      <c r="K20" s="67">
        <f t="shared" si="0"/>
        <v>300</v>
      </c>
      <c r="L20" s="125"/>
      <c r="M20" s="79"/>
      <c r="N20" s="79"/>
      <c r="O20" s="79"/>
      <c r="P20" s="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12.75">
      <c r="A21" s="64" t="s">
        <v>395</v>
      </c>
      <c r="B21" s="45" t="s">
        <v>261</v>
      </c>
      <c r="C21" s="26">
        <f>D21+E21+F21+G21</f>
        <v>3216</v>
      </c>
      <c r="D21" s="21"/>
      <c r="E21" s="21"/>
      <c r="F21" s="21">
        <f>2000+1700-800+316</f>
        <v>3216</v>
      </c>
      <c r="G21" s="130"/>
      <c r="H21" s="26"/>
      <c r="I21" s="26"/>
      <c r="J21" s="26"/>
      <c r="K21" s="59">
        <f>C21+H21</f>
        <v>3216</v>
      </c>
      <c r="L21" s="7"/>
      <c r="M21" s="18"/>
      <c r="N21" s="26">
        <f>O21+P21+Q21+R21</f>
        <v>1710</v>
      </c>
      <c r="O21" s="21"/>
      <c r="P21" s="21"/>
      <c r="Q21" s="21">
        <v>1710</v>
      </c>
      <c r="R21" s="130"/>
      <c r="S21" s="26"/>
      <c r="T21" s="26"/>
      <c r="U21" s="26"/>
      <c r="V21" s="59">
        <f>N21+S21</f>
        <v>1710</v>
      </c>
      <c r="W21" s="184">
        <f aca="true" t="shared" si="2" ref="W21:AC21">C21-N21</f>
        <v>1506</v>
      </c>
      <c r="X21" s="184">
        <f t="shared" si="2"/>
        <v>0</v>
      </c>
      <c r="Y21" s="184">
        <f t="shared" si="2"/>
        <v>0</v>
      </c>
      <c r="Z21" s="184">
        <f t="shared" si="2"/>
        <v>1506</v>
      </c>
      <c r="AA21" s="184">
        <f t="shared" si="2"/>
        <v>0</v>
      </c>
      <c r="AB21" s="184">
        <f t="shared" si="2"/>
        <v>0</v>
      </c>
      <c r="AC21" s="184">
        <f t="shared" si="2"/>
        <v>0</v>
      </c>
      <c r="AD21" s="184">
        <f>K21-V21</f>
        <v>1506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8" customHeight="1">
      <c r="A22" s="58" t="s">
        <v>330</v>
      </c>
      <c r="B22" s="17" t="s">
        <v>321</v>
      </c>
      <c r="C22" s="26">
        <f t="shared" si="1"/>
        <v>0</v>
      </c>
      <c r="D22" s="21"/>
      <c r="E22" s="21"/>
      <c r="F22" s="21"/>
      <c r="G22" s="21"/>
      <c r="H22" s="26">
        <f>3053.4+6719</f>
        <v>9772.4</v>
      </c>
      <c r="I22" s="21">
        <f>6719</f>
        <v>6719</v>
      </c>
      <c r="J22" s="21"/>
      <c r="K22" s="67">
        <f t="shared" si="0"/>
        <v>9772.4</v>
      </c>
      <c r="L22" s="125"/>
      <c r="M22" s="79"/>
      <c r="N22" s="79"/>
      <c r="O22" s="79"/>
      <c r="P22" s="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ht="24" customHeight="1">
      <c r="A23" s="58"/>
      <c r="B23" s="17" t="s">
        <v>320</v>
      </c>
      <c r="C23" s="26">
        <f t="shared" si="1"/>
        <v>0</v>
      </c>
      <c r="D23" s="21"/>
      <c r="E23" s="21"/>
      <c r="F23" s="21"/>
      <c r="G23" s="21"/>
      <c r="H23" s="26">
        <v>3053.4</v>
      </c>
      <c r="I23" s="21"/>
      <c r="J23" s="21"/>
      <c r="K23" s="67">
        <f t="shared" si="0"/>
        <v>3053.4</v>
      </c>
      <c r="L23" s="125"/>
      <c r="M23" s="79"/>
      <c r="N23" s="79"/>
      <c r="O23" s="79"/>
      <c r="P23" s="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12.75" customHeight="1">
      <c r="A24" s="58" t="s">
        <v>331</v>
      </c>
      <c r="B24" s="17" t="s">
        <v>332</v>
      </c>
      <c r="C24" s="26">
        <f t="shared" si="1"/>
        <v>2196</v>
      </c>
      <c r="D24" s="21"/>
      <c r="E24" s="21"/>
      <c r="F24" s="21">
        <v>2196</v>
      </c>
      <c r="G24" s="21"/>
      <c r="H24" s="26"/>
      <c r="I24" s="21"/>
      <c r="J24" s="21"/>
      <c r="K24" s="67">
        <f t="shared" si="0"/>
        <v>2196</v>
      </c>
      <c r="L24" s="125"/>
      <c r="M24" s="79"/>
      <c r="N24" s="79"/>
      <c r="O24" s="79"/>
      <c r="P24" s="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ht="25.5">
      <c r="A25" s="64" t="s">
        <v>94</v>
      </c>
      <c r="B25" s="20" t="s">
        <v>244</v>
      </c>
      <c r="C25" s="26">
        <f t="shared" si="1"/>
        <v>4370.099999999999</v>
      </c>
      <c r="D25" s="26"/>
      <c r="E25" s="26"/>
      <c r="F25" s="26">
        <f>1071.8+3500+300+3197.6-3699.3</f>
        <v>4370.099999999999</v>
      </c>
      <c r="G25" s="26"/>
      <c r="H25" s="26"/>
      <c r="I25" s="26"/>
      <c r="J25" s="26"/>
      <c r="K25" s="59">
        <f t="shared" si="0"/>
        <v>4370.099999999999</v>
      </c>
      <c r="L25" s="154"/>
      <c r="M25" s="1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39" customHeight="1">
      <c r="A26" s="64" t="s">
        <v>55</v>
      </c>
      <c r="B26" s="17" t="s">
        <v>56</v>
      </c>
      <c r="C26" s="26"/>
      <c r="D26" s="26"/>
      <c r="E26" s="26"/>
      <c r="F26" s="26"/>
      <c r="G26" s="26"/>
      <c r="H26" s="26">
        <f>113314.7+1000+2000</f>
        <v>116314.7</v>
      </c>
      <c r="I26" s="26">
        <f>H26</f>
        <v>116314.7</v>
      </c>
      <c r="J26" s="26"/>
      <c r="K26" s="59">
        <f>C26+H26</f>
        <v>116314.7</v>
      </c>
      <c r="L26" s="172"/>
      <c r="M26" s="21">
        <f>L26-C26</f>
        <v>0</v>
      </c>
      <c r="N26" s="26">
        <f>O26+P26+Q26</f>
        <v>0</v>
      </c>
      <c r="O26" s="26"/>
      <c r="P26" s="26"/>
      <c r="Q26" s="26"/>
      <c r="R26" s="26"/>
      <c r="S26" s="26">
        <f>T26</f>
        <v>49600.4</v>
      </c>
      <c r="T26" s="26">
        <f>17000+1500.4-4000+4000+600+30500</f>
        <v>49600.4</v>
      </c>
      <c r="U26" s="26"/>
      <c r="V26" s="59">
        <f>N26+S26</f>
        <v>49600.4</v>
      </c>
      <c r="W26" s="354">
        <f aca="true" t="shared" si="3" ref="W26:AC26">C26-N26</f>
        <v>0</v>
      </c>
      <c r="X26" s="354">
        <f t="shared" si="3"/>
        <v>0</v>
      </c>
      <c r="Y26" s="354">
        <f t="shared" si="3"/>
        <v>0</v>
      </c>
      <c r="Z26" s="354">
        <f t="shared" si="3"/>
        <v>0</v>
      </c>
      <c r="AA26" s="354">
        <f t="shared" si="3"/>
        <v>0</v>
      </c>
      <c r="AB26" s="354">
        <f t="shared" si="3"/>
        <v>66714.29999999999</v>
      </c>
      <c r="AC26" s="354">
        <f t="shared" si="3"/>
        <v>66714.29999999999</v>
      </c>
      <c r="AD26" s="354">
        <f>K26-V26</f>
        <v>66714.29999999999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25.5" customHeight="1" hidden="1">
      <c r="A27" s="341" t="s">
        <v>402</v>
      </c>
      <c r="B27" s="342" t="s">
        <v>403</v>
      </c>
      <c r="C27" s="26">
        <f t="shared" si="1"/>
        <v>0</v>
      </c>
      <c r="D27" s="26"/>
      <c r="E27" s="26"/>
      <c r="F27" s="26">
        <f>297-180-30-87</f>
        <v>0</v>
      </c>
      <c r="G27" s="26"/>
      <c r="H27" s="26"/>
      <c r="I27" s="26"/>
      <c r="J27" s="26"/>
      <c r="K27" s="59">
        <f t="shared" si="0"/>
        <v>0</v>
      </c>
      <c r="L27" s="154"/>
      <c r="M27" s="1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30" s="18" customFormat="1" ht="38.25">
      <c r="A28" s="114" t="s">
        <v>59</v>
      </c>
      <c r="B28" s="65" t="s">
        <v>111</v>
      </c>
      <c r="C28" s="113">
        <f>D28+E28+F28+G28</f>
        <v>69.9</v>
      </c>
      <c r="D28" s="26"/>
      <c r="E28" s="26"/>
      <c r="F28" s="26">
        <f>F29+F30</f>
        <v>69.9</v>
      </c>
      <c r="G28" s="26"/>
      <c r="H28" s="26"/>
      <c r="I28" s="26"/>
      <c r="J28" s="26"/>
      <c r="K28" s="115">
        <f>C28+H28</f>
        <v>69.9</v>
      </c>
      <c r="L28" s="175"/>
      <c r="M28" s="23">
        <f>L28-C28</f>
        <v>-69.9</v>
      </c>
      <c r="N28" s="113" t="e">
        <f>O28+P28+Q28+R28</f>
        <v>#REF!</v>
      </c>
      <c r="O28" s="26"/>
      <c r="P28" s="26"/>
      <c r="Q28" s="26" t="e">
        <f>#REF!</f>
        <v>#REF!</v>
      </c>
      <c r="R28" s="26">
        <f>SUM(R29:R40)</f>
        <v>0</v>
      </c>
      <c r="S28" s="26">
        <f>SUM(S29:S42)</f>
        <v>0</v>
      </c>
      <c r="T28" s="26"/>
      <c r="U28" s="26"/>
      <c r="V28" s="115" t="e">
        <f>N28+S28</f>
        <v>#REF!</v>
      </c>
      <c r="W28" s="184" t="e">
        <f aca="true" t="shared" si="4" ref="W28:AC28">C28-N28</f>
        <v>#REF!</v>
      </c>
      <c r="X28" s="184">
        <f t="shared" si="4"/>
        <v>0</v>
      </c>
      <c r="Y28" s="184">
        <f t="shared" si="4"/>
        <v>0</v>
      </c>
      <c r="Z28" s="184" t="e">
        <f t="shared" si="4"/>
        <v>#REF!</v>
      </c>
      <c r="AA28" s="184">
        <f t="shared" si="4"/>
        <v>0</v>
      </c>
      <c r="AB28" s="184">
        <f t="shared" si="4"/>
        <v>0</v>
      </c>
      <c r="AC28" s="184">
        <f t="shared" si="4"/>
        <v>0</v>
      </c>
      <c r="AD28" s="184" t="e">
        <f>K28-V28</f>
        <v>#REF!</v>
      </c>
    </row>
    <row r="29" spans="1:59" ht="25.5">
      <c r="A29" s="294"/>
      <c r="B29" s="17" t="s">
        <v>401</v>
      </c>
      <c r="C29" s="26">
        <f>D29+E29+F29</f>
        <v>69.9</v>
      </c>
      <c r="D29" s="26"/>
      <c r="E29" s="26"/>
      <c r="F29" s="26">
        <v>69.9</v>
      </c>
      <c r="G29" s="26"/>
      <c r="H29" s="26"/>
      <c r="I29" s="26"/>
      <c r="J29" s="26"/>
      <c r="K29" s="26">
        <f>C29+H29</f>
        <v>69.9</v>
      </c>
      <c r="L29" s="172"/>
      <c r="M29" s="23"/>
      <c r="N29" s="113"/>
      <c r="O29" s="26"/>
      <c r="P29" s="26"/>
      <c r="Q29" s="26"/>
      <c r="R29" s="26"/>
      <c r="S29" s="26"/>
      <c r="T29" s="26"/>
      <c r="U29" s="26"/>
      <c r="V29" s="295"/>
      <c r="W29" s="269"/>
      <c r="X29" s="269"/>
      <c r="Y29" s="269"/>
      <c r="Z29" s="269"/>
      <c r="AA29" s="269"/>
      <c r="AB29" s="269"/>
      <c r="AC29" s="269"/>
      <c r="AD29" s="26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13" s="18" customFormat="1" ht="25.5" hidden="1">
      <c r="A30" s="294"/>
      <c r="B30" s="65" t="s">
        <v>431</v>
      </c>
      <c r="C30" s="113">
        <f>D30+E30+F30</f>
        <v>0</v>
      </c>
      <c r="D30" s="26"/>
      <c r="E30" s="26"/>
      <c r="F30" s="26">
        <f>300-300</f>
        <v>0</v>
      </c>
      <c r="G30" s="26"/>
      <c r="H30" s="26"/>
      <c r="I30" s="26"/>
      <c r="J30" s="26"/>
      <c r="K30" s="115">
        <f>C30+H30</f>
        <v>0</v>
      </c>
      <c r="L30" s="175"/>
      <c r="M30" s="23"/>
    </row>
    <row r="31" spans="1:59" ht="12.75">
      <c r="A31" s="58" t="s">
        <v>95</v>
      </c>
      <c r="B31" s="36" t="s">
        <v>261</v>
      </c>
      <c r="C31" s="26">
        <f t="shared" si="1"/>
        <v>1191.2</v>
      </c>
      <c r="D31" s="21"/>
      <c r="E31" s="21"/>
      <c r="F31" s="21">
        <f>691.2+500</f>
        <v>1191.2</v>
      </c>
      <c r="G31" s="21"/>
      <c r="H31" s="21">
        <f>I31</f>
        <v>0</v>
      </c>
      <c r="I31" s="21"/>
      <c r="J31" s="21"/>
      <c r="K31" s="67">
        <f t="shared" si="0"/>
        <v>1191.2</v>
      </c>
      <c r="L31" s="83"/>
      <c r="M31" s="27"/>
      <c r="N31" s="8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18" customFormat="1" ht="12.75">
      <c r="A32" s="56"/>
      <c r="B32" s="51" t="s">
        <v>448</v>
      </c>
      <c r="C32" s="136">
        <f>D32+E32+F32+G32</f>
        <v>300</v>
      </c>
      <c r="D32" s="23"/>
      <c r="E32" s="23"/>
      <c r="F32" s="23">
        <f>F33+F34</f>
        <v>300</v>
      </c>
      <c r="G32" s="23"/>
      <c r="H32" s="23"/>
      <c r="I32" s="23"/>
      <c r="J32" s="23"/>
      <c r="K32" s="364">
        <f>C32+H32</f>
        <v>300</v>
      </c>
      <c r="L32" s="82"/>
      <c r="M32" s="35"/>
      <c r="N32" s="8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</row>
    <row r="33" spans="1:12" s="18" customFormat="1" ht="39.75" customHeight="1">
      <c r="A33" s="64" t="s">
        <v>452</v>
      </c>
      <c r="B33" s="65" t="s">
        <v>453</v>
      </c>
      <c r="C33" s="26">
        <f>D33+E33+F33</f>
        <v>245</v>
      </c>
      <c r="D33" s="41"/>
      <c r="E33" s="41"/>
      <c r="F33" s="26">
        <v>245</v>
      </c>
      <c r="G33" s="26"/>
      <c r="H33" s="26"/>
      <c r="I33" s="26"/>
      <c r="J33" s="350"/>
      <c r="K33" s="59"/>
      <c r="L33" s="175"/>
    </row>
    <row r="34" spans="1:59" ht="25.5">
      <c r="A34" s="64" t="s">
        <v>454</v>
      </c>
      <c r="B34" s="20" t="s">
        <v>323</v>
      </c>
      <c r="C34" s="26">
        <f>D34+E34+F34</f>
        <v>55</v>
      </c>
      <c r="D34" s="26"/>
      <c r="E34" s="26"/>
      <c r="F34" s="26">
        <v>55</v>
      </c>
      <c r="G34" s="26"/>
      <c r="H34" s="26"/>
      <c r="I34" s="26"/>
      <c r="J34" s="26"/>
      <c r="K34" s="26">
        <f>C34+H34</f>
        <v>55</v>
      </c>
      <c r="L34" s="172"/>
      <c r="M34" s="23"/>
      <c r="N34" s="113"/>
      <c r="O34" s="26"/>
      <c r="P34" s="26"/>
      <c r="Q34" s="26"/>
      <c r="R34" s="26"/>
      <c r="S34" s="26"/>
      <c r="T34" s="26"/>
      <c r="U34" s="26"/>
      <c r="V34" s="295"/>
      <c r="W34" s="269"/>
      <c r="X34" s="269"/>
      <c r="Y34" s="269"/>
      <c r="Z34" s="269"/>
      <c r="AA34" s="269"/>
      <c r="AB34" s="269"/>
      <c r="AC34" s="269"/>
      <c r="AD34" s="26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12" s="18" customFormat="1" ht="22.5" customHeight="1">
      <c r="A35" s="56"/>
      <c r="B35" s="49" t="s">
        <v>7</v>
      </c>
      <c r="C35" s="136">
        <f>D35+E35+F35</f>
        <v>379015.9</v>
      </c>
      <c r="D35" s="41">
        <f aca="true" t="shared" si="5" ref="D35:K35">D36+D38+D39</f>
        <v>129228.7</v>
      </c>
      <c r="E35" s="41">
        <f t="shared" si="5"/>
        <v>40637.600000000006</v>
      </c>
      <c r="F35" s="41">
        <f t="shared" si="5"/>
        <v>209149.6</v>
      </c>
      <c r="G35" s="41"/>
      <c r="H35" s="41">
        <f t="shared" si="5"/>
        <v>2596.4</v>
      </c>
      <c r="I35" s="41">
        <f t="shared" si="5"/>
        <v>0</v>
      </c>
      <c r="J35" s="41">
        <f t="shared" si="5"/>
        <v>0</v>
      </c>
      <c r="K35" s="57">
        <f t="shared" si="5"/>
        <v>381612.30000000005</v>
      </c>
      <c r="L35" s="24"/>
    </row>
    <row r="36" spans="1:59" ht="31.5" customHeight="1">
      <c r="A36" s="58" t="s">
        <v>221</v>
      </c>
      <c r="B36" s="20" t="s">
        <v>88</v>
      </c>
      <c r="C36" s="26">
        <f>D36+E36+F36</f>
        <v>377662</v>
      </c>
      <c r="D36" s="26">
        <f>128393.6+142.2</f>
        <v>128535.8</v>
      </c>
      <c r="E36" s="26">
        <v>40630.3</v>
      </c>
      <c r="F36" s="26">
        <f>184202.1+23867+100+275+51.8</f>
        <v>208495.9</v>
      </c>
      <c r="G36" s="26"/>
      <c r="H36" s="21">
        <v>2596.4</v>
      </c>
      <c r="I36" s="21"/>
      <c r="J36" s="21"/>
      <c r="K36" s="67">
        <f>C36+H36</f>
        <v>380258.4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ht="65.25" customHeight="1">
      <c r="A37" s="58" t="s">
        <v>193</v>
      </c>
      <c r="B37" s="20" t="s">
        <v>192</v>
      </c>
      <c r="C37" s="26">
        <f>D37+E37+F37</f>
        <v>1088.1</v>
      </c>
      <c r="D37" s="21"/>
      <c r="E37" s="21"/>
      <c r="F37" s="21">
        <v>1088.1</v>
      </c>
      <c r="G37" s="21"/>
      <c r="H37" s="21"/>
      <c r="I37" s="21"/>
      <c r="J37" s="21"/>
      <c r="K37" s="67">
        <f>C37+H37</f>
        <v>1088.1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ht="25.5" customHeight="1">
      <c r="A38" s="58" t="s">
        <v>184</v>
      </c>
      <c r="B38" s="36" t="s">
        <v>262</v>
      </c>
      <c r="C38" s="26">
        <f aca="true" t="shared" si="6" ref="C38:C54">D38+E38+F38</f>
        <v>1096.3999999999999</v>
      </c>
      <c r="D38" s="21">
        <v>692.9</v>
      </c>
      <c r="E38" s="21">
        <v>7.3</v>
      </c>
      <c r="F38" s="21">
        <v>396.2</v>
      </c>
      <c r="G38" s="21"/>
      <c r="H38" s="21"/>
      <c r="I38" s="21"/>
      <c r="J38" s="21"/>
      <c r="K38" s="67">
        <f>C38+H38</f>
        <v>1096.3999999999999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ht="38.25">
      <c r="A39" s="64" t="s">
        <v>59</v>
      </c>
      <c r="B39" s="20" t="s">
        <v>290</v>
      </c>
      <c r="C39" s="26">
        <f t="shared" si="6"/>
        <v>257.5</v>
      </c>
      <c r="D39" s="21"/>
      <c r="E39" s="21"/>
      <c r="F39" s="21">
        <f>F40</f>
        <v>257.5</v>
      </c>
      <c r="G39" s="21"/>
      <c r="H39" s="21"/>
      <c r="I39" s="21"/>
      <c r="J39" s="21"/>
      <c r="K39" s="67">
        <f>C39+H39</f>
        <v>257.5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ht="18.75" customHeight="1">
      <c r="A40" s="64"/>
      <c r="B40" s="20" t="s">
        <v>197</v>
      </c>
      <c r="C40" s="26">
        <f t="shared" si="6"/>
        <v>257.5</v>
      </c>
      <c r="D40" s="21"/>
      <c r="E40" s="21"/>
      <c r="F40" s="21">
        <v>257.5</v>
      </c>
      <c r="G40" s="21"/>
      <c r="H40" s="21"/>
      <c r="I40" s="21"/>
      <c r="J40" s="21"/>
      <c r="K40" s="67">
        <f>C40+H40</f>
        <v>257.5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59" s="18" customFormat="1" ht="12.75">
      <c r="A41" s="56"/>
      <c r="B41" s="50" t="s">
        <v>438</v>
      </c>
      <c r="C41" s="41">
        <f t="shared" si="6"/>
        <v>884316.8999999999</v>
      </c>
      <c r="D41" s="41">
        <f aca="true" t="shared" si="7" ref="D41:J41">D42+D48+D50</f>
        <v>363454.8</v>
      </c>
      <c r="E41" s="41">
        <f t="shared" si="7"/>
        <v>77924.2</v>
      </c>
      <c r="F41" s="41">
        <f>F42+F48+F50</f>
        <v>442937.89999999997</v>
      </c>
      <c r="G41" s="41"/>
      <c r="H41" s="41">
        <f t="shared" si="7"/>
        <v>31971.4</v>
      </c>
      <c r="I41" s="41">
        <f t="shared" si="7"/>
        <v>0</v>
      </c>
      <c r="J41" s="41">
        <f t="shared" si="7"/>
        <v>0</v>
      </c>
      <c r="K41" s="41">
        <f>K42+K48+K50</f>
        <v>916288.2999999999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</row>
    <row r="42" spans="1:59" ht="40.5" customHeight="1">
      <c r="A42" s="58" t="s">
        <v>223</v>
      </c>
      <c r="B42" s="36" t="s">
        <v>77</v>
      </c>
      <c r="C42" s="26">
        <f>D42+E42+F42</f>
        <v>847685</v>
      </c>
      <c r="D42" s="21">
        <f>349104.3+898.7</f>
        <v>350003</v>
      </c>
      <c r="E42" s="21">
        <f>78198.6-1900-1835.1-234.6</f>
        <v>74228.9</v>
      </c>
      <c r="F42" s="21">
        <f>384320.8+15000+500+30+3000+13230.2-1314+6253.2-2486.2-70-831.9+250+1500+1000+1900+936.4+234.6</f>
        <v>423453.1</v>
      </c>
      <c r="G42" s="21"/>
      <c r="H42" s="21">
        <v>25373.4</v>
      </c>
      <c r="I42" s="21"/>
      <c r="J42" s="21"/>
      <c r="K42" s="67">
        <f aca="true" t="shared" si="8" ref="K42:K104">C42+H42</f>
        <v>873058.4</v>
      </c>
      <c r="L42" s="83"/>
      <c r="M42" s="126"/>
      <c r="N42" s="83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ht="26.25" customHeight="1">
      <c r="A43" s="345" t="s">
        <v>267</v>
      </c>
      <c r="B43" s="36" t="s">
        <v>435</v>
      </c>
      <c r="C43" s="26">
        <f t="shared" si="6"/>
        <v>22964.1</v>
      </c>
      <c r="D43" s="21"/>
      <c r="E43" s="21"/>
      <c r="F43" s="21">
        <f>22964.1</f>
        <v>22964.1</v>
      </c>
      <c r="G43" s="69"/>
      <c r="H43" s="21"/>
      <c r="I43" s="21"/>
      <c r="J43" s="21"/>
      <c r="K43" s="67">
        <f t="shared" si="8"/>
        <v>22964.1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59" ht="26.25" customHeight="1">
      <c r="A44" s="345" t="s">
        <v>267</v>
      </c>
      <c r="B44" s="36" t="s">
        <v>416</v>
      </c>
      <c r="C44" s="26">
        <f t="shared" si="6"/>
        <v>13230.2</v>
      </c>
      <c r="D44" s="21"/>
      <c r="E44" s="21"/>
      <c r="F44" s="21">
        <v>13230.2</v>
      </c>
      <c r="G44" s="69"/>
      <c r="H44" s="21"/>
      <c r="I44" s="21"/>
      <c r="J44" s="21"/>
      <c r="K44" s="67">
        <f t="shared" si="8"/>
        <v>13230.2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1:59" ht="63.75">
      <c r="A45" s="58" t="s">
        <v>272</v>
      </c>
      <c r="B45" s="20" t="s">
        <v>192</v>
      </c>
      <c r="C45" s="26">
        <f t="shared" si="6"/>
        <v>44.4</v>
      </c>
      <c r="D45" s="21"/>
      <c r="E45" s="21"/>
      <c r="F45" s="21">
        <v>44.4</v>
      </c>
      <c r="G45" s="21"/>
      <c r="H45" s="21"/>
      <c r="I45" s="21"/>
      <c r="J45" s="21"/>
      <c r="K45" s="67">
        <f t="shared" si="8"/>
        <v>44.4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</row>
    <row r="46" spans="1:59" ht="56.25" customHeight="1" hidden="1">
      <c r="A46" s="406" t="s">
        <v>418</v>
      </c>
      <c r="B46" s="20" t="s">
        <v>437</v>
      </c>
      <c r="C46" s="26">
        <v>469219.9</v>
      </c>
      <c r="D46" s="21">
        <v>191877.3</v>
      </c>
      <c r="E46" s="21">
        <v>49217.3</v>
      </c>
      <c r="F46" s="21">
        <f>C46-D46-E46</f>
        <v>228125.30000000005</v>
      </c>
      <c r="G46" s="21"/>
      <c r="H46" s="21">
        <v>12435.4</v>
      </c>
      <c r="I46" s="21"/>
      <c r="J46" s="21"/>
      <c r="K46" s="67">
        <f t="shared" si="8"/>
        <v>481655.30000000005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</row>
    <row r="47" spans="1:59" ht="51" customHeight="1">
      <c r="A47" s="407"/>
      <c r="B47" s="65" t="s">
        <v>442</v>
      </c>
      <c r="C47" s="26">
        <f t="shared" si="6"/>
        <v>3000</v>
      </c>
      <c r="D47" s="21"/>
      <c r="E47" s="21"/>
      <c r="F47" s="21">
        <v>3000</v>
      </c>
      <c r="G47" s="21"/>
      <c r="H47" s="21"/>
      <c r="I47" s="21"/>
      <c r="J47" s="21"/>
      <c r="K47" s="67">
        <f t="shared" si="8"/>
        <v>3000</v>
      </c>
      <c r="L47" s="343"/>
      <c r="M47" s="23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</row>
    <row r="48" spans="1:59" ht="45.75" customHeight="1">
      <c r="A48" s="58" t="s">
        <v>221</v>
      </c>
      <c r="B48" s="36" t="s">
        <v>76</v>
      </c>
      <c r="C48" s="26">
        <f t="shared" si="6"/>
        <v>35478.7</v>
      </c>
      <c r="D48" s="21">
        <f>12841.6+31.2</f>
        <v>12872.800000000001</v>
      </c>
      <c r="E48" s="21">
        <v>3629.1</v>
      </c>
      <c r="F48" s="21">
        <f>18935.5+30+11.3</f>
        <v>18976.8</v>
      </c>
      <c r="G48" s="21"/>
      <c r="H48" s="21">
        <v>6598</v>
      </c>
      <c r="I48" s="21"/>
      <c r="J48" s="21"/>
      <c r="K48" s="67">
        <f t="shared" si="8"/>
        <v>42076.7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</row>
    <row r="49" spans="1:59" ht="63.75">
      <c r="A49" s="58" t="s">
        <v>193</v>
      </c>
      <c r="B49" s="20" t="s">
        <v>192</v>
      </c>
      <c r="C49" s="26">
        <f t="shared" si="6"/>
        <v>153.5</v>
      </c>
      <c r="D49" s="21"/>
      <c r="E49" s="21"/>
      <c r="F49" s="21">
        <v>153.5</v>
      </c>
      <c r="G49" s="21"/>
      <c r="H49" s="21"/>
      <c r="I49" s="21"/>
      <c r="J49" s="21"/>
      <c r="K49" s="67">
        <f t="shared" si="8"/>
        <v>153.5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 ht="12.75" customHeight="1">
      <c r="A50" s="58" t="s">
        <v>185</v>
      </c>
      <c r="B50" s="36" t="s">
        <v>263</v>
      </c>
      <c r="C50" s="26">
        <f t="shared" si="6"/>
        <v>1153.2</v>
      </c>
      <c r="D50" s="21">
        <f>526.4+52.6</f>
        <v>579</v>
      </c>
      <c r="E50" s="21">
        <v>66.2</v>
      </c>
      <c r="F50" s="21">
        <f>488.8+19.2</f>
        <v>508</v>
      </c>
      <c r="G50" s="21"/>
      <c r="H50" s="21">
        <v>0</v>
      </c>
      <c r="I50" s="21"/>
      <c r="J50" s="21"/>
      <c r="K50" s="67">
        <f t="shared" si="8"/>
        <v>1153.2</v>
      </c>
      <c r="L50" s="83"/>
      <c r="M50" s="27"/>
      <c r="N50" s="83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1:59" s="18" customFormat="1" ht="25.5" customHeight="1">
      <c r="A51" s="56"/>
      <c r="B51" s="50" t="s">
        <v>218</v>
      </c>
      <c r="C51" s="41">
        <f t="shared" si="6"/>
        <v>173707</v>
      </c>
      <c r="D51" s="41">
        <f>D53+D54+D56+D57+D58+D55+D52</f>
        <v>57682.3</v>
      </c>
      <c r="E51" s="41">
        <f>E53+E54+E56+E57+E58+E55+E52</f>
        <v>23989.2</v>
      </c>
      <c r="F51" s="41">
        <f>F53+F54+F56+F57+F58+F55+F52</f>
        <v>92035.49999999999</v>
      </c>
      <c r="G51" s="41"/>
      <c r="H51" s="41">
        <f>H53+H54+H56+H57+H58+H55+H52+H59</f>
        <v>31816.8</v>
      </c>
      <c r="I51" s="41">
        <f>I53+I54+I56+I57+I58+I55+I52</f>
        <v>0</v>
      </c>
      <c r="J51" s="41" t="e">
        <f>J53+#REF!+#REF!+J54+J56+#REF!+J57+J58+#REF!+#REF!+#REF!+J55+#REF!+#REF!+J52</f>
        <v>#REF!</v>
      </c>
      <c r="K51" s="57">
        <f t="shared" si="8"/>
        <v>205523.8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</row>
    <row r="52" spans="1:12" s="18" customFormat="1" ht="27" customHeight="1">
      <c r="A52" s="58" t="s">
        <v>74</v>
      </c>
      <c r="B52" s="144" t="s">
        <v>75</v>
      </c>
      <c r="C52" s="26">
        <f t="shared" si="6"/>
        <v>1517.4</v>
      </c>
      <c r="D52" s="134"/>
      <c r="E52" s="134"/>
      <c r="F52" s="26">
        <v>1517.4</v>
      </c>
      <c r="G52" s="26"/>
      <c r="H52" s="134"/>
      <c r="I52" s="134"/>
      <c r="J52" s="134"/>
      <c r="K52" s="59">
        <f t="shared" si="8"/>
        <v>1517.4</v>
      </c>
      <c r="L52" s="24"/>
    </row>
    <row r="53" spans="1:59" ht="15" customHeight="1">
      <c r="A53" s="58" t="s">
        <v>229</v>
      </c>
      <c r="B53" s="20" t="s">
        <v>230</v>
      </c>
      <c r="C53" s="26">
        <f t="shared" si="6"/>
        <v>0.6</v>
      </c>
      <c r="D53" s="21"/>
      <c r="E53" s="21"/>
      <c r="F53" s="21">
        <v>0.6</v>
      </c>
      <c r="G53" s="21"/>
      <c r="H53" s="21"/>
      <c r="I53" s="21"/>
      <c r="J53" s="21"/>
      <c r="K53" s="67">
        <f t="shared" si="8"/>
        <v>0.6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1:59" ht="104.25" customHeight="1">
      <c r="A54" s="58" t="s">
        <v>99</v>
      </c>
      <c r="B54" s="20" t="s">
        <v>98</v>
      </c>
      <c r="C54" s="26">
        <f t="shared" si="6"/>
        <v>169281.59999999998</v>
      </c>
      <c r="D54" s="21">
        <v>57682.3</v>
      </c>
      <c r="E54" s="21">
        <v>23989.2</v>
      </c>
      <c r="F54" s="21">
        <f>74357.4+500+11000+87+1665.7</f>
        <v>87610.09999999999</v>
      </c>
      <c r="G54" s="21"/>
      <c r="H54" s="21">
        <v>31816.8</v>
      </c>
      <c r="I54" s="21"/>
      <c r="J54" s="21"/>
      <c r="K54" s="67">
        <f t="shared" si="8"/>
        <v>201098.39999999997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59" ht="29.25" customHeight="1">
      <c r="A55" s="58" t="s">
        <v>233</v>
      </c>
      <c r="B55" s="20" t="s">
        <v>264</v>
      </c>
      <c r="C55" s="26">
        <f>D55+E55+F55</f>
        <v>230.5</v>
      </c>
      <c r="D55" s="26"/>
      <c r="E55" s="26"/>
      <c r="F55" s="26">
        <f>329.5-99</f>
        <v>230.5</v>
      </c>
      <c r="G55" s="26"/>
      <c r="H55" s="26"/>
      <c r="I55" s="26"/>
      <c r="J55" s="26"/>
      <c r="K55" s="59">
        <f t="shared" si="8"/>
        <v>230.5</v>
      </c>
      <c r="L55" s="7"/>
      <c r="M55" s="18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5" customHeight="1">
      <c r="A56" s="58" t="s">
        <v>96</v>
      </c>
      <c r="B56" s="17" t="s">
        <v>110</v>
      </c>
      <c r="C56" s="26">
        <f aca="true" t="shared" si="9" ref="C56:C84">D56+E56+F56</f>
        <v>1526.9</v>
      </c>
      <c r="D56" s="21"/>
      <c r="E56" s="21"/>
      <c r="F56" s="21">
        <f>1226.9+300</f>
        <v>1526.9</v>
      </c>
      <c r="G56" s="21"/>
      <c r="H56" s="21"/>
      <c r="I56" s="21"/>
      <c r="J56" s="21"/>
      <c r="K56" s="67">
        <f t="shared" si="8"/>
        <v>1526.9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59" ht="28.5" customHeight="1">
      <c r="A57" s="58" t="s">
        <v>273</v>
      </c>
      <c r="B57" s="20" t="s">
        <v>278</v>
      </c>
      <c r="C57" s="26">
        <f t="shared" si="9"/>
        <v>1000</v>
      </c>
      <c r="D57" s="26"/>
      <c r="E57" s="26"/>
      <c r="F57" s="26">
        <v>1000</v>
      </c>
      <c r="G57" s="26"/>
      <c r="H57" s="21"/>
      <c r="I57" s="21"/>
      <c r="J57" s="21"/>
      <c r="K57" s="67">
        <f t="shared" si="8"/>
        <v>1000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1:59" ht="12" customHeight="1">
      <c r="A58" s="58" t="s">
        <v>279</v>
      </c>
      <c r="B58" s="20" t="s">
        <v>280</v>
      </c>
      <c r="C58" s="26">
        <f t="shared" si="9"/>
        <v>150</v>
      </c>
      <c r="D58" s="26"/>
      <c r="E58" s="26"/>
      <c r="F58" s="26">
        <f>976.7-826.7</f>
        <v>150</v>
      </c>
      <c r="G58" s="26"/>
      <c r="H58" s="21"/>
      <c r="I58" s="21"/>
      <c r="J58" s="21"/>
      <c r="K58" s="67">
        <f t="shared" si="8"/>
        <v>150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1:59" ht="89.25" customHeight="1" hidden="1">
      <c r="A59" s="58" t="s">
        <v>287</v>
      </c>
      <c r="B59" s="234" t="s">
        <v>288</v>
      </c>
      <c r="C59" s="26"/>
      <c r="D59" s="26"/>
      <c r="E59" s="26"/>
      <c r="F59" s="26"/>
      <c r="G59" s="26"/>
      <c r="H59" s="21"/>
      <c r="I59" s="21"/>
      <c r="J59" s="21"/>
      <c r="K59" s="67">
        <f t="shared" si="8"/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1:11" ht="27.75" customHeight="1">
      <c r="A60" s="56"/>
      <c r="B60" s="51" t="s">
        <v>219</v>
      </c>
      <c r="C60" s="41">
        <f>D60+E60+F60+G60</f>
        <v>19486.7</v>
      </c>
      <c r="D60" s="41">
        <f>D61+D62+D63+D64+D65+D66+D67+D69+D68</f>
        <v>2132.7</v>
      </c>
      <c r="E60" s="41">
        <f>E61+E62+E63+E64+E65+E66+E67+E69+E68</f>
        <v>571.9</v>
      </c>
      <c r="F60" s="41">
        <f>F61+F62+F63+F64+F65+F66+F67+F69+F68</f>
        <v>13610.7</v>
      </c>
      <c r="G60" s="41">
        <f>G61+G62+G63+G64+G65+G66+G67+G69+G68</f>
        <v>3171.4</v>
      </c>
      <c r="H60" s="41"/>
      <c r="I60" s="41"/>
      <c r="J60" s="23"/>
      <c r="K60" s="81">
        <f>C60+H60</f>
        <v>19486.7</v>
      </c>
    </row>
    <row r="61" spans="1:59" ht="18" customHeight="1">
      <c r="A61" s="58" t="s">
        <v>37</v>
      </c>
      <c r="B61" s="17" t="s">
        <v>38</v>
      </c>
      <c r="C61" s="26">
        <f t="shared" si="9"/>
        <v>899.6999999999999</v>
      </c>
      <c r="D61" s="26">
        <v>527.8</v>
      </c>
      <c r="E61" s="26">
        <v>26.9</v>
      </c>
      <c r="F61" s="26">
        <v>345</v>
      </c>
      <c r="G61" s="26"/>
      <c r="H61" s="21"/>
      <c r="I61" s="21"/>
      <c r="J61" s="21"/>
      <c r="K61" s="67">
        <f t="shared" si="8"/>
        <v>899.6999999999999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1:59" ht="25.5">
      <c r="A62" s="58" t="s">
        <v>39</v>
      </c>
      <c r="B62" s="17" t="s">
        <v>40</v>
      </c>
      <c r="C62" s="26">
        <f t="shared" si="9"/>
        <v>176.6</v>
      </c>
      <c r="D62" s="26"/>
      <c r="E62" s="26"/>
      <c r="F62" s="26">
        <v>176.6</v>
      </c>
      <c r="G62" s="26"/>
      <c r="H62" s="21"/>
      <c r="I62" s="21"/>
      <c r="J62" s="21"/>
      <c r="K62" s="67">
        <f t="shared" si="8"/>
        <v>176.6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59" ht="25.5">
      <c r="A63" s="58" t="s">
        <v>41</v>
      </c>
      <c r="B63" s="17" t="s">
        <v>89</v>
      </c>
      <c r="C63" s="26">
        <f t="shared" si="9"/>
        <v>1080.6</v>
      </c>
      <c r="D63" s="26"/>
      <c r="E63" s="26"/>
      <c r="F63" s="26">
        <v>1080.6</v>
      </c>
      <c r="G63" s="26"/>
      <c r="H63" s="21"/>
      <c r="I63" s="21"/>
      <c r="J63" s="21"/>
      <c r="K63" s="67">
        <f t="shared" si="8"/>
        <v>1080.6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1:59" ht="25.5">
      <c r="A64" s="58" t="s">
        <v>42</v>
      </c>
      <c r="B64" s="17" t="s">
        <v>43</v>
      </c>
      <c r="C64" s="26">
        <f t="shared" si="9"/>
        <v>132</v>
      </c>
      <c r="D64" s="26"/>
      <c r="E64" s="26"/>
      <c r="F64" s="26">
        <v>132</v>
      </c>
      <c r="G64" s="26"/>
      <c r="H64" s="21"/>
      <c r="I64" s="21"/>
      <c r="J64" s="21"/>
      <c r="K64" s="67">
        <f t="shared" si="8"/>
        <v>132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1:59" ht="15" customHeight="1">
      <c r="A65" s="58" t="s">
        <v>44</v>
      </c>
      <c r="B65" s="17" t="s">
        <v>45</v>
      </c>
      <c r="C65" s="26">
        <f t="shared" si="9"/>
        <v>1226.1999999999998</v>
      </c>
      <c r="D65" s="26">
        <v>497.4</v>
      </c>
      <c r="E65" s="26">
        <v>108</v>
      </c>
      <c r="F65" s="26">
        <f>642.5-21.7</f>
        <v>620.8</v>
      </c>
      <c r="G65" s="26"/>
      <c r="H65" s="21"/>
      <c r="I65" s="21"/>
      <c r="J65" s="21"/>
      <c r="K65" s="67">
        <f>H65+C65</f>
        <v>1226.1999999999998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59" ht="12.75">
      <c r="A66" s="58" t="s">
        <v>46</v>
      </c>
      <c r="B66" s="17" t="s">
        <v>47</v>
      </c>
      <c r="C66" s="26">
        <f t="shared" si="9"/>
        <v>3077.4</v>
      </c>
      <c r="D66" s="26">
        <v>1107.5</v>
      </c>
      <c r="E66" s="26">
        <f>517-80</f>
        <v>437</v>
      </c>
      <c r="F66" s="26">
        <f>1188.9+4+260+80</f>
        <v>1532.9</v>
      </c>
      <c r="G66" s="26"/>
      <c r="H66" s="21"/>
      <c r="I66" s="21"/>
      <c r="J66" s="21"/>
      <c r="K66" s="67">
        <f>C66+H66</f>
        <v>3077.4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</row>
    <row r="67" spans="1:59" ht="25.5">
      <c r="A67" s="58" t="s">
        <v>48</v>
      </c>
      <c r="B67" s="17" t="s">
        <v>49</v>
      </c>
      <c r="C67" s="26">
        <f t="shared" si="9"/>
        <v>210.2</v>
      </c>
      <c r="D67" s="26"/>
      <c r="E67" s="26"/>
      <c r="F67" s="26">
        <f>188.5+21.7</f>
        <v>210.2</v>
      </c>
      <c r="G67" s="26"/>
      <c r="H67" s="21"/>
      <c r="I67" s="21"/>
      <c r="J67" s="21"/>
      <c r="K67" s="67">
        <f t="shared" si="8"/>
        <v>210.2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1:59" ht="63" customHeight="1">
      <c r="A68" s="58" t="s">
        <v>72</v>
      </c>
      <c r="B68" s="20" t="s">
        <v>73</v>
      </c>
      <c r="C68" s="26">
        <f>D68+E68+F68+G68</f>
        <v>12683.199999999999</v>
      </c>
      <c r="D68" s="26"/>
      <c r="E68" s="26"/>
      <c r="F68" s="26">
        <f>217.8+9211.8+300-217.8</f>
        <v>9511.8</v>
      </c>
      <c r="G68" s="26">
        <f>2975.8+195.6</f>
        <v>3171.4</v>
      </c>
      <c r="H68" s="26"/>
      <c r="I68" s="26"/>
      <c r="J68" s="26"/>
      <c r="K68" s="59">
        <f t="shared" si="8"/>
        <v>12683.199999999999</v>
      </c>
      <c r="L68" s="7"/>
      <c r="M68" s="1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64.5" customHeight="1">
      <c r="A69" s="58" t="s">
        <v>191</v>
      </c>
      <c r="B69" s="20" t="s">
        <v>192</v>
      </c>
      <c r="C69" s="26">
        <f t="shared" si="9"/>
        <v>0.8</v>
      </c>
      <c r="D69" s="21"/>
      <c r="E69" s="21"/>
      <c r="F69" s="21">
        <v>0.8</v>
      </c>
      <c r="G69" s="21"/>
      <c r="H69" s="21"/>
      <c r="I69" s="21"/>
      <c r="J69" s="21"/>
      <c r="K69" s="67">
        <f t="shared" si="8"/>
        <v>0.8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1:59" s="18" customFormat="1" ht="29.25" customHeight="1">
      <c r="A70" s="56"/>
      <c r="B70" s="51" t="s">
        <v>379</v>
      </c>
      <c r="C70" s="41">
        <f>D70+E70+F70+G70</f>
        <v>17441.5</v>
      </c>
      <c r="D70" s="23"/>
      <c r="E70" s="23"/>
      <c r="F70" s="23">
        <f>F71+F78+F81</f>
        <v>17342</v>
      </c>
      <c r="G70" s="23">
        <f>G71+G78+G81+G72</f>
        <v>99.5</v>
      </c>
      <c r="H70" s="23">
        <f>H77+H74+H81+H80+H79</f>
        <v>107066.7</v>
      </c>
      <c r="I70" s="23">
        <f>I77+I74+I81+I80</f>
        <v>80777.9</v>
      </c>
      <c r="J70" s="23"/>
      <c r="K70" s="81">
        <f>C70+H70</f>
        <v>124508.2</v>
      </c>
      <c r="L70" s="82"/>
      <c r="M70" s="82"/>
      <c r="N70" s="82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:59" ht="12.75">
      <c r="A71" s="58" t="s">
        <v>393</v>
      </c>
      <c r="B71" s="36" t="s">
        <v>426</v>
      </c>
      <c r="C71" s="26">
        <f t="shared" si="9"/>
        <v>9657.199999999999</v>
      </c>
      <c r="D71" s="21"/>
      <c r="E71" s="21"/>
      <c r="F71" s="21">
        <f>F72+F73+F74+F76</f>
        <v>9657.199999999999</v>
      </c>
      <c r="G71" s="21"/>
      <c r="H71" s="21"/>
      <c r="I71" s="21"/>
      <c r="J71" s="21"/>
      <c r="K71" s="67">
        <f t="shared" si="8"/>
        <v>9657.199999999999</v>
      </c>
      <c r="L71" s="283"/>
      <c r="M71" s="283"/>
      <c r="N71" s="283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</row>
    <row r="72" spans="1:59" ht="12.75">
      <c r="A72" s="58" t="s">
        <v>420</v>
      </c>
      <c r="B72" s="17" t="s">
        <v>425</v>
      </c>
      <c r="C72" s="26">
        <f>D72+E72+F72+G72</f>
        <v>749.7</v>
      </c>
      <c r="D72" s="21"/>
      <c r="E72" s="21"/>
      <c r="F72" s="21">
        <v>673.2</v>
      </c>
      <c r="G72" s="21">
        <f>64.5+12</f>
        <v>76.5</v>
      </c>
      <c r="H72" s="21"/>
      <c r="I72" s="21"/>
      <c r="J72" s="21"/>
      <c r="K72" s="67">
        <f t="shared" si="8"/>
        <v>749.7</v>
      </c>
      <c r="L72" s="283"/>
      <c r="M72" s="283"/>
      <c r="N72" s="283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</row>
    <row r="73" spans="1:59" ht="12.75">
      <c r="A73" s="58" t="s">
        <v>455</v>
      </c>
      <c r="B73" s="17" t="s">
        <v>456</v>
      </c>
      <c r="C73" s="26">
        <f>D73+E73+F73+G73</f>
        <v>1000</v>
      </c>
      <c r="D73" s="21"/>
      <c r="E73" s="21"/>
      <c r="F73" s="21">
        <v>1000</v>
      </c>
      <c r="G73" s="21"/>
      <c r="H73" s="21"/>
      <c r="I73" s="21"/>
      <c r="J73" s="21"/>
      <c r="K73" s="67">
        <f t="shared" si="8"/>
        <v>1000</v>
      </c>
      <c r="L73" s="283"/>
      <c r="M73" s="283"/>
      <c r="N73" s="283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</row>
    <row r="74" spans="1:59" s="18" customFormat="1" ht="17.25" customHeight="1">
      <c r="A74" s="58" t="s">
        <v>327</v>
      </c>
      <c r="B74" s="17" t="s">
        <v>329</v>
      </c>
      <c r="C74" s="26">
        <f t="shared" si="9"/>
        <v>7413.999999999999</v>
      </c>
      <c r="D74" s="23"/>
      <c r="E74" s="23"/>
      <c r="F74" s="21">
        <f>4971.8+4680-2237.8</f>
        <v>7413.999999999999</v>
      </c>
      <c r="G74" s="21"/>
      <c r="H74" s="21">
        <f>17000-17000</f>
        <v>0</v>
      </c>
      <c r="I74" s="23"/>
      <c r="J74" s="23"/>
      <c r="K74" s="67">
        <f t="shared" si="8"/>
        <v>7413.999999999999</v>
      </c>
      <c r="L74" s="82"/>
      <c r="M74" s="82"/>
      <c r="N74" s="82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1:59" s="18" customFormat="1" ht="23.25" customHeight="1">
      <c r="A75" s="58"/>
      <c r="B75" s="17" t="s">
        <v>320</v>
      </c>
      <c r="C75" s="26">
        <f t="shared" si="9"/>
        <v>4651.8</v>
      </c>
      <c r="D75" s="23"/>
      <c r="E75" s="23"/>
      <c r="F75" s="21">
        <v>4651.8</v>
      </c>
      <c r="G75" s="21"/>
      <c r="H75" s="21"/>
      <c r="I75" s="23"/>
      <c r="J75" s="23"/>
      <c r="K75" s="67">
        <f t="shared" si="8"/>
        <v>4651.8</v>
      </c>
      <c r="L75" s="82"/>
      <c r="M75" s="82"/>
      <c r="N75" s="82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1:59" s="18" customFormat="1" ht="38.25">
      <c r="A76" s="58" t="s">
        <v>399</v>
      </c>
      <c r="B76" s="20" t="s">
        <v>400</v>
      </c>
      <c r="C76" s="26">
        <f t="shared" si="9"/>
        <v>570</v>
      </c>
      <c r="D76" s="23"/>
      <c r="E76" s="23"/>
      <c r="F76" s="21">
        <v>570</v>
      </c>
      <c r="G76" s="21"/>
      <c r="H76" s="21"/>
      <c r="I76" s="23"/>
      <c r="J76" s="23"/>
      <c r="K76" s="67">
        <f t="shared" si="8"/>
        <v>570</v>
      </c>
      <c r="L76" s="82"/>
      <c r="M76" s="82"/>
      <c r="N76" s="82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1:59" s="18" customFormat="1" ht="94.5" customHeight="1">
      <c r="A77" s="58" t="s">
        <v>309</v>
      </c>
      <c r="B77" s="47" t="s">
        <v>406</v>
      </c>
      <c r="C77" s="26"/>
      <c r="D77" s="21"/>
      <c r="E77" s="21"/>
      <c r="F77" s="21"/>
      <c r="G77" s="21"/>
      <c r="H77" s="21">
        <f>13540.8+72209.2-34554.5-25436.9</f>
        <v>25758.6</v>
      </c>
      <c r="I77" s="23"/>
      <c r="J77" s="23"/>
      <c r="K77" s="67">
        <f t="shared" si="8"/>
        <v>25758.6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</row>
    <row r="78" spans="1:59" s="18" customFormat="1" ht="12.75">
      <c r="A78" s="64" t="s">
        <v>90</v>
      </c>
      <c r="B78" s="17" t="s">
        <v>293</v>
      </c>
      <c r="C78" s="26">
        <f>D78+E78+F78+G78</f>
        <v>290</v>
      </c>
      <c r="D78" s="21"/>
      <c r="E78" s="21"/>
      <c r="F78" s="21">
        <v>290</v>
      </c>
      <c r="G78" s="23"/>
      <c r="H78" s="21"/>
      <c r="I78" s="21"/>
      <c r="J78" s="23"/>
      <c r="K78" s="67">
        <f t="shared" si="8"/>
        <v>290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1:59" s="18" customFormat="1" ht="12.75">
      <c r="A79" s="64" t="s">
        <v>330</v>
      </c>
      <c r="B79" s="17" t="s">
        <v>444</v>
      </c>
      <c r="C79" s="26"/>
      <c r="D79" s="21"/>
      <c r="E79" s="21"/>
      <c r="F79" s="21"/>
      <c r="G79" s="23"/>
      <c r="H79" s="21">
        <v>11.3</v>
      </c>
      <c r="I79" s="21"/>
      <c r="J79" s="23"/>
      <c r="K79" s="67">
        <f t="shared" si="8"/>
        <v>11.3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</row>
    <row r="80" spans="1:68" s="18" customFormat="1" ht="38.25">
      <c r="A80" s="64" t="s">
        <v>55</v>
      </c>
      <c r="B80" s="17" t="s">
        <v>56</v>
      </c>
      <c r="C80" s="26"/>
      <c r="D80" s="21"/>
      <c r="E80" s="21"/>
      <c r="F80" s="21"/>
      <c r="G80" s="23"/>
      <c r="H80" s="21">
        <f>26507.9+25000+15000+15000-1000</f>
        <v>80507.9</v>
      </c>
      <c r="I80" s="21">
        <f>H80</f>
        <v>80507.9</v>
      </c>
      <c r="J80" s="23"/>
      <c r="K80" s="67">
        <f>C80+H80</f>
        <v>80507.9</v>
      </c>
      <c r="L80" s="35"/>
      <c r="M80" s="35"/>
      <c r="N80" s="26"/>
      <c r="O80" s="21"/>
      <c r="P80" s="21"/>
      <c r="Q80" s="21"/>
      <c r="R80" s="23"/>
      <c r="S80" s="21">
        <f>T80</f>
        <v>30500</v>
      </c>
      <c r="T80" s="21">
        <f>5500+25000</f>
        <v>30500</v>
      </c>
      <c r="U80" s="23"/>
      <c r="V80" s="67">
        <f>N80+S80</f>
        <v>30500</v>
      </c>
      <c r="W80" s="184">
        <f aca="true" t="shared" si="10" ref="W80:AC80">C80-N80</f>
        <v>0</v>
      </c>
      <c r="X80" s="184">
        <f t="shared" si="10"/>
        <v>0</v>
      </c>
      <c r="Y80" s="184">
        <f t="shared" si="10"/>
        <v>0</v>
      </c>
      <c r="Z80" s="184">
        <f t="shared" si="10"/>
        <v>0</v>
      </c>
      <c r="AA80" s="184">
        <f t="shared" si="10"/>
        <v>0</v>
      </c>
      <c r="AB80" s="184">
        <f t="shared" si="10"/>
        <v>50007.899999999994</v>
      </c>
      <c r="AC80" s="184">
        <f t="shared" si="10"/>
        <v>50007.899999999994</v>
      </c>
      <c r="AD80" s="184">
        <f>K80-V80</f>
        <v>50007.899999999994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</row>
    <row r="81" spans="1:59" s="18" customFormat="1" ht="25.5" customHeight="1">
      <c r="A81" s="58" t="s">
        <v>58</v>
      </c>
      <c r="B81" s="20" t="s">
        <v>316</v>
      </c>
      <c r="C81" s="26">
        <f>D81+E81+F81+G81</f>
        <v>7417.8</v>
      </c>
      <c r="D81" s="21"/>
      <c r="E81" s="21"/>
      <c r="F81" s="21">
        <v>7394.8</v>
      </c>
      <c r="G81" s="21">
        <f>21.7+1.3</f>
        <v>23</v>
      </c>
      <c r="H81" s="21">
        <f>684.8+78.8+25.3</f>
        <v>788.8999999999999</v>
      </c>
      <c r="I81" s="21">
        <v>270</v>
      </c>
      <c r="J81" s="23"/>
      <c r="K81" s="67">
        <f>C81+H81</f>
        <v>8206.7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</row>
    <row r="82" spans="1:13" ht="23.25" customHeight="1">
      <c r="A82" s="58"/>
      <c r="B82" s="51" t="s">
        <v>3</v>
      </c>
      <c r="C82" s="41">
        <f>D82+E82+F82</f>
        <v>140270.80000000002</v>
      </c>
      <c r="D82" s="41">
        <f>D86+D88+D90+D83+D84+D87</f>
        <v>27724.4</v>
      </c>
      <c r="E82" s="41">
        <f>E86+E88+E90+E83+E84+E87</f>
        <v>5183.5</v>
      </c>
      <c r="F82" s="41">
        <f>F86+F88+F90+F83+F84+F87</f>
        <v>107362.90000000001</v>
      </c>
      <c r="G82" s="41"/>
      <c r="H82" s="41">
        <f>H86+H88+H90+H83+H84+H85</f>
        <v>2336.5</v>
      </c>
      <c r="I82" s="41">
        <f>I86+I88+I90+I83+I84</f>
        <v>0</v>
      </c>
      <c r="J82" s="41" t="e">
        <f>J86+J88+J90+#REF!+J83+J84+#REF!+#REF!</f>
        <v>#REF!</v>
      </c>
      <c r="K82" s="81">
        <f>C82+H82</f>
        <v>142607.30000000002</v>
      </c>
      <c r="L82" s="37"/>
      <c r="M82" s="37"/>
    </row>
    <row r="83" spans="1:59" ht="12.75">
      <c r="A83" s="58" t="s">
        <v>51</v>
      </c>
      <c r="B83" s="17" t="s">
        <v>52</v>
      </c>
      <c r="C83" s="26">
        <f>D83+E83+F83+G83</f>
        <v>49498.5</v>
      </c>
      <c r="D83" s="26"/>
      <c r="E83" s="26"/>
      <c r="F83" s="26">
        <v>49498.5</v>
      </c>
      <c r="G83" s="26"/>
      <c r="H83" s="26"/>
      <c r="I83" s="26"/>
      <c r="J83" s="21"/>
      <c r="K83" s="67">
        <f>C83+H83</f>
        <v>49498.5</v>
      </c>
      <c r="L83" s="83"/>
      <c r="M83" s="83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1:59" ht="24.75" customHeight="1">
      <c r="A84" s="58" t="s">
        <v>53</v>
      </c>
      <c r="B84" s="17" t="s">
        <v>412</v>
      </c>
      <c r="C84" s="26">
        <f t="shared" si="9"/>
        <v>23855.4</v>
      </c>
      <c r="D84" s="26"/>
      <c r="E84" s="26">
        <v>15</v>
      </c>
      <c r="F84" s="26">
        <f>21018.4+1000+173.1+500+237.9-340+400+800+40-40+51</f>
        <v>23840.4</v>
      </c>
      <c r="G84" s="26"/>
      <c r="H84" s="26"/>
      <c r="I84" s="26"/>
      <c r="J84" s="21"/>
      <c r="K84" s="67">
        <f t="shared" si="8"/>
        <v>23855.4</v>
      </c>
      <c r="L84" s="83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1:59" ht="12.75">
      <c r="A85" s="64" t="s">
        <v>281</v>
      </c>
      <c r="B85" s="17" t="s">
        <v>282</v>
      </c>
      <c r="C85" s="26"/>
      <c r="D85" s="26"/>
      <c r="E85" s="26"/>
      <c r="F85" s="26"/>
      <c r="G85" s="26"/>
      <c r="H85" s="26">
        <f>130+36</f>
        <v>166</v>
      </c>
      <c r="I85" s="26"/>
      <c r="J85" s="26"/>
      <c r="K85" s="59">
        <f t="shared" si="8"/>
        <v>166</v>
      </c>
      <c r="L85" s="7"/>
      <c r="M85" s="1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38.25" customHeight="1">
      <c r="A86" s="58" t="s">
        <v>291</v>
      </c>
      <c r="B86" s="36" t="s">
        <v>292</v>
      </c>
      <c r="C86" s="26">
        <f>D86+E86+F86</f>
        <v>17814.8</v>
      </c>
      <c r="D86" s="21">
        <f>7679.6+374.2</f>
        <v>8053.8</v>
      </c>
      <c r="E86" s="21">
        <v>2090.8</v>
      </c>
      <c r="F86" s="21">
        <f>7534+100-100+136.2</f>
        <v>7670.2</v>
      </c>
      <c r="G86" s="21"/>
      <c r="H86" s="21">
        <v>1201.4</v>
      </c>
      <c r="I86" s="21"/>
      <c r="J86" s="21"/>
      <c r="K86" s="59">
        <f>C86+H86</f>
        <v>19016.2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</row>
    <row r="87" spans="1:59" ht="12.75">
      <c r="A87" s="58" t="s">
        <v>90</v>
      </c>
      <c r="B87" s="36" t="s">
        <v>293</v>
      </c>
      <c r="C87" s="26">
        <f aca="true" t="shared" si="11" ref="C87:C99">D87+E87+F87</f>
        <v>1388.5</v>
      </c>
      <c r="D87" s="21">
        <v>304.7</v>
      </c>
      <c r="E87" s="21"/>
      <c r="F87" s="21">
        <f>1083.8</f>
        <v>1083.8</v>
      </c>
      <c r="G87" s="21"/>
      <c r="H87" s="21"/>
      <c r="I87" s="21"/>
      <c r="J87" s="21"/>
      <c r="K87" s="59">
        <f>C87+H87</f>
        <v>1388.5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1:59" ht="45.75" customHeight="1">
      <c r="A88" s="64" t="s">
        <v>221</v>
      </c>
      <c r="B88" s="84" t="s">
        <v>91</v>
      </c>
      <c r="C88" s="26">
        <f t="shared" si="11"/>
        <v>42369.600000000006</v>
      </c>
      <c r="D88" s="21">
        <f>19336.4+29.5</f>
        <v>19365.9</v>
      </c>
      <c r="E88" s="21">
        <f>3210.2-132.5</f>
        <v>3077.7</v>
      </c>
      <c r="F88" s="21">
        <f>15482.8+150+50+4100+10.7+132.5</f>
        <v>19926</v>
      </c>
      <c r="G88" s="21"/>
      <c r="H88" s="21">
        <v>969.1</v>
      </c>
      <c r="I88" s="21"/>
      <c r="J88" s="21"/>
      <c r="K88" s="67">
        <f>C88+H88</f>
        <v>43338.700000000004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1:59" ht="67.5" customHeight="1">
      <c r="A89" s="64" t="s">
        <v>193</v>
      </c>
      <c r="B89" s="20" t="s">
        <v>192</v>
      </c>
      <c r="C89" s="26">
        <f t="shared" si="11"/>
        <v>235.2</v>
      </c>
      <c r="D89" s="21"/>
      <c r="E89" s="21"/>
      <c r="F89" s="21">
        <v>235.2</v>
      </c>
      <c r="G89" s="21"/>
      <c r="H89" s="21"/>
      <c r="I89" s="21"/>
      <c r="J89" s="21"/>
      <c r="K89" s="67">
        <f t="shared" si="8"/>
        <v>235.2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</row>
    <row r="90" spans="1:59" ht="12.75">
      <c r="A90" s="58" t="s">
        <v>186</v>
      </c>
      <c r="B90" s="36" t="s">
        <v>236</v>
      </c>
      <c r="C90" s="26">
        <f t="shared" si="11"/>
        <v>5344</v>
      </c>
      <c r="D90" s="21"/>
      <c r="E90" s="21"/>
      <c r="F90" s="21">
        <f>724+4620</f>
        <v>5344</v>
      </c>
      <c r="G90" s="21"/>
      <c r="H90" s="21"/>
      <c r="I90" s="21"/>
      <c r="J90" s="21"/>
      <c r="K90" s="67">
        <f t="shared" si="8"/>
        <v>5344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1:59" s="18" customFormat="1" ht="25.5">
      <c r="A91" s="56"/>
      <c r="B91" s="51" t="s">
        <v>306</v>
      </c>
      <c r="C91" s="41">
        <f>D91+E91+F91+G91</f>
        <v>8179.4</v>
      </c>
      <c r="D91" s="41">
        <f>D94</f>
        <v>0</v>
      </c>
      <c r="E91" s="41">
        <f>E94</f>
        <v>0</v>
      </c>
      <c r="F91" s="41">
        <f>F94+F92+F93+F95</f>
        <v>5933.4</v>
      </c>
      <c r="G91" s="41">
        <f>G94+G92+G93</f>
        <v>2246</v>
      </c>
      <c r="H91" s="23"/>
      <c r="I91" s="23"/>
      <c r="J91" s="23"/>
      <c r="K91" s="81">
        <f>C91+H91</f>
        <v>8179.4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1:59" s="18" customFormat="1" ht="12.75">
      <c r="A92" s="64" t="s">
        <v>333</v>
      </c>
      <c r="B92" s="243" t="s">
        <v>334</v>
      </c>
      <c r="C92" s="26">
        <f t="shared" si="11"/>
        <v>750</v>
      </c>
      <c r="D92" s="41"/>
      <c r="E92" s="41"/>
      <c r="F92" s="26">
        <f>500+250</f>
        <v>750</v>
      </c>
      <c r="G92" s="26"/>
      <c r="H92" s="23"/>
      <c r="I92" s="23"/>
      <c r="J92" s="23"/>
      <c r="K92" s="67">
        <f t="shared" si="8"/>
        <v>750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</row>
    <row r="93" spans="1:59" s="18" customFormat="1" ht="12.75">
      <c r="A93" s="58" t="s">
        <v>347</v>
      </c>
      <c r="B93" s="84" t="s">
        <v>346</v>
      </c>
      <c r="C93" s="26">
        <f>D93+E93+F93+G93</f>
        <v>4016</v>
      </c>
      <c r="D93" s="21"/>
      <c r="E93" s="21"/>
      <c r="F93" s="21">
        <f>800+970</f>
        <v>1770</v>
      </c>
      <c r="G93" s="26">
        <f>702.4+1500+50-6.4</f>
        <v>2246</v>
      </c>
      <c r="H93" s="21"/>
      <c r="I93" s="21"/>
      <c r="J93" s="21"/>
      <c r="K93" s="67">
        <f>C93+H93</f>
        <v>4016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</row>
    <row r="94" spans="1:59" ht="15.75" customHeight="1">
      <c r="A94" s="64" t="s">
        <v>187</v>
      </c>
      <c r="B94" s="17" t="s">
        <v>238</v>
      </c>
      <c r="C94" s="26">
        <f t="shared" si="11"/>
        <v>2077.8</v>
      </c>
      <c r="D94" s="21"/>
      <c r="E94" s="21"/>
      <c r="F94" s="21">
        <f>803.8+365+894.6+14.4</f>
        <v>2077.8</v>
      </c>
      <c r="G94" s="21"/>
      <c r="H94" s="21"/>
      <c r="I94" s="21"/>
      <c r="J94" s="21"/>
      <c r="K94" s="67">
        <f t="shared" si="8"/>
        <v>2077.8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</row>
    <row r="95" spans="1:59" s="18" customFormat="1" ht="25.5">
      <c r="A95" s="58" t="s">
        <v>94</v>
      </c>
      <c r="B95" s="20" t="s">
        <v>244</v>
      </c>
      <c r="C95" s="26">
        <f>D95+E95+F95</f>
        <v>1335.6</v>
      </c>
      <c r="D95" s="21"/>
      <c r="E95" s="21"/>
      <c r="F95" s="21">
        <f>3464.6-2114.6-14.4</f>
        <v>1335.6</v>
      </c>
      <c r="G95" s="21"/>
      <c r="H95" s="21"/>
      <c r="I95" s="21"/>
      <c r="J95" s="21"/>
      <c r="K95" s="67">
        <f>C95+H95</f>
        <v>1335.6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</row>
    <row r="96" spans="1:59" s="18" customFormat="1" ht="25.5">
      <c r="A96" s="63"/>
      <c r="B96" s="51" t="s">
        <v>220</v>
      </c>
      <c r="C96" s="41">
        <f t="shared" si="11"/>
        <v>52940.2</v>
      </c>
      <c r="D96" s="41">
        <f>D97+D98+D99</f>
        <v>13286</v>
      </c>
      <c r="E96" s="41">
        <f>E97+E98+E99</f>
        <v>1662.2</v>
      </c>
      <c r="F96" s="41">
        <f>F97+F98+F99</f>
        <v>37992</v>
      </c>
      <c r="G96" s="41"/>
      <c r="H96" s="41">
        <f>H97+H98+H99</f>
        <v>20</v>
      </c>
      <c r="I96" s="41">
        <f>I97+I98+I99</f>
        <v>0</v>
      </c>
      <c r="J96" s="41" t="e">
        <f>J97+J98+J99+#REF!</f>
        <v>#REF!</v>
      </c>
      <c r="K96" s="81">
        <f t="shared" si="8"/>
        <v>52960.2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</row>
    <row r="97" spans="1:59" ht="42.75" customHeight="1">
      <c r="A97" s="58" t="s">
        <v>184</v>
      </c>
      <c r="B97" s="36" t="s">
        <v>258</v>
      </c>
      <c r="C97" s="26">
        <f t="shared" si="11"/>
        <v>38065.6</v>
      </c>
      <c r="D97" s="21">
        <v>8388.9</v>
      </c>
      <c r="E97" s="21">
        <v>425.6</v>
      </c>
      <c r="F97" s="21">
        <f>25151.1+1000+150+950+2000</f>
        <v>29251.1</v>
      </c>
      <c r="G97" s="21"/>
      <c r="H97" s="21"/>
      <c r="I97" s="21"/>
      <c r="J97" s="21"/>
      <c r="K97" s="67">
        <f t="shared" si="8"/>
        <v>38065.6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</row>
    <row r="98" spans="1:59" ht="18.75" customHeight="1">
      <c r="A98" s="58" t="s">
        <v>188</v>
      </c>
      <c r="B98" s="84" t="s">
        <v>92</v>
      </c>
      <c r="C98" s="26">
        <f t="shared" si="11"/>
        <v>13358.2</v>
      </c>
      <c r="D98" s="21">
        <f>4167.5+3.5</f>
        <v>4171</v>
      </c>
      <c r="E98" s="21">
        <f>1204.3-90</f>
        <v>1114.3</v>
      </c>
      <c r="F98" s="21">
        <f>7081.6+900+1.3+90</f>
        <v>8072.900000000001</v>
      </c>
      <c r="G98" s="21"/>
      <c r="H98" s="21"/>
      <c r="I98" s="21"/>
      <c r="J98" s="21"/>
      <c r="K98" s="67">
        <f t="shared" si="8"/>
        <v>13358.2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</row>
    <row r="99" spans="1:59" ht="26.25" customHeight="1">
      <c r="A99" s="58" t="s">
        <v>93</v>
      </c>
      <c r="B99" s="65" t="s">
        <v>112</v>
      </c>
      <c r="C99" s="26">
        <f t="shared" si="11"/>
        <v>1516.4</v>
      </c>
      <c r="D99" s="21">
        <v>726.1</v>
      </c>
      <c r="E99" s="21">
        <v>122.3</v>
      </c>
      <c r="F99" s="21">
        <f>618+50</f>
        <v>668</v>
      </c>
      <c r="G99" s="21"/>
      <c r="H99" s="21">
        <v>20</v>
      </c>
      <c r="I99" s="21"/>
      <c r="J99" s="21"/>
      <c r="K99" s="67">
        <f t="shared" si="8"/>
        <v>1536.4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</row>
    <row r="100" spans="1:59" ht="25.5">
      <c r="A100" s="58"/>
      <c r="B100" s="86" t="s">
        <v>251</v>
      </c>
      <c r="C100" s="23">
        <f>C101+C105+C109+C104+C103</f>
        <v>7671.700000000001</v>
      </c>
      <c r="D100" s="21"/>
      <c r="E100" s="21"/>
      <c r="F100" s="23">
        <f>F101+F105+F109+F104+F103</f>
        <v>7671.700000000001</v>
      </c>
      <c r="G100" s="23"/>
      <c r="H100" s="23">
        <f>H101+H105+H108+H109+H111+H107</f>
        <v>271508.30000000005</v>
      </c>
      <c r="I100" s="23">
        <f>I101+I105+I108</f>
        <v>178512.00000000003</v>
      </c>
      <c r="J100" s="23" t="e">
        <f>J105+#REF!+#REF!+#REF!+#REF!+#REF!+#REF!+#REF!</f>
        <v>#REF!</v>
      </c>
      <c r="K100" s="57">
        <f>C100+H100</f>
        <v>279180.00000000006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</row>
    <row r="101" spans="1:12" s="18" customFormat="1" ht="12.75" customHeight="1">
      <c r="A101" s="58" t="s">
        <v>188</v>
      </c>
      <c r="B101" s="17" t="s">
        <v>326</v>
      </c>
      <c r="C101" s="26">
        <f>F101</f>
        <v>5140.8</v>
      </c>
      <c r="D101" s="26"/>
      <c r="E101" s="26"/>
      <c r="F101" s="26">
        <f>4610.8+180+350</f>
        <v>5140.8</v>
      </c>
      <c r="G101" s="26"/>
      <c r="H101" s="26">
        <f>I101</f>
        <v>0</v>
      </c>
      <c r="I101" s="26"/>
      <c r="J101" s="41"/>
      <c r="K101" s="59">
        <f t="shared" si="8"/>
        <v>5140.8</v>
      </c>
      <c r="L101" s="19"/>
    </row>
    <row r="102" spans="1:12" s="18" customFormat="1" ht="24.75" customHeight="1">
      <c r="A102" s="58"/>
      <c r="B102" s="17" t="s">
        <v>320</v>
      </c>
      <c r="C102" s="26">
        <v>1710.8</v>
      </c>
      <c r="D102" s="26"/>
      <c r="E102" s="26"/>
      <c r="F102" s="26">
        <v>1710.8</v>
      </c>
      <c r="G102" s="26"/>
      <c r="H102" s="26"/>
      <c r="I102" s="26"/>
      <c r="J102" s="41"/>
      <c r="K102" s="59">
        <f t="shared" si="8"/>
        <v>1710.8</v>
      </c>
      <c r="L102" s="19"/>
    </row>
    <row r="103" spans="1:59" ht="51">
      <c r="A103" s="357" t="s">
        <v>418</v>
      </c>
      <c r="B103" s="356" t="s">
        <v>436</v>
      </c>
      <c r="C103" s="26">
        <f>D103+E103+F103</f>
        <v>0</v>
      </c>
      <c r="D103" s="21"/>
      <c r="E103" s="21"/>
      <c r="F103" s="21">
        <f>2486.2-2486.2</f>
        <v>0</v>
      </c>
      <c r="G103" s="21"/>
      <c r="H103" s="21"/>
      <c r="I103" s="21"/>
      <c r="J103" s="21"/>
      <c r="K103" s="67">
        <f>C103+H103</f>
        <v>0</v>
      </c>
      <c r="L103" s="83"/>
      <c r="M103" s="126"/>
      <c r="N103" s="83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</row>
    <row r="104" spans="1:59" ht="12.75">
      <c r="A104" s="58" t="s">
        <v>46</v>
      </c>
      <c r="B104" s="17" t="s">
        <v>47</v>
      </c>
      <c r="C104" s="26">
        <f>D104+E104+F104</f>
        <v>0</v>
      </c>
      <c r="D104" s="26"/>
      <c r="E104" s="26"/>
      <c r="F104" s="26">
        <f>4700-4700</f>
        <v>0</v>
      </c>
      <c r="G104" s="26"/>
      <c r="H104" s="26"/>
      <c r="I104" s="26"/>
      <c r="J104" s="26"/>
      <c r="K104" s="59">
        <f t="shared" si="8"/>
        <v>0</v>
      </c>
      <c r="L104" s="172"/>
      <c r="M104" s="2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2.75" customHeight="1">
      <c r="A105" s="58" t="s">
        <v>322</v>
      </c>
      <c r="B105" s="17" t="s">
        <v>404</v>
      </c>
      <c r="C105" s="26">
        <f>D105+E105+F105</f>
        <v>0</v>
      </c>
      <c r="D105" s="124"/>
      <c r="E105" s="124"/>
      <c r="F105" s="21"/>
      <c r="G105" s="21"/>
      <c r="H105" s="21">
        <f>I105+15134.5-3053.4-8324</f>
        <v>182269.10000000003</v>
      </c>
      <c r="I105" s="21">
        <f>49728.6+5000+20000+100000+1314+133.2-150+2486.2</f>
        <v>178512.00000000003</v>
      </c>
      <c r="J105" s="21"/>
      <c r="K105" s="67">
        <f aca="true" t="shared" si="12" ref="K105:K117">H105+C105</f>
        <v>182269.10000000003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</row>
    <row r="106" spans="1:59" ht="24" customHeight="1">
      <c r="A106" s="58"/>
      <c r="B106" s="17" t="s">
        <v>320</v>
      </c>
      <c r="C106" s="26"/>
      <c r="D106" s="124"/>
      <c r="E106" s="124"/>
      <c r="F106" s="21"/>
      <c r="G106" s="21"/>
      <c r="H106" s="21">
        <v>2156.7</v>
      </c>
      <c r="I106" s="21"/>
      <c r="J106" s="21"/>
      <c r="K106" s="67">
        <f t="shared" si="12"/>
        <v>2156.7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</row>
    <row r="107" spans="1:59" ht="24" customHeight="1">
      <c r="A107" s="58" t="s">
        <v>189</v>
      </c>
      <c r="B107" s="17" t="s">
        <v>243</v>
      </c>
      <c r="C107" s="26"/>
      <c r="D107" s="21"/>
      <c r="E107" s="21"/>
      <c r="F107" s="21"/>
      <c r="G107" s="21"/>
      <c r="H107" s="21">
        <v>450</v>
      </c>
      <c r="I107" s="21"/>
      <c r="J107" s="21"/>
      <c r="K107" s="67">
        <f>C107+H107</f>
        <v>450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</row>
    <row r="108" spans="1:59" ht="53.25" customHeight="1">
      <c r="A108" s="58" t="s">
        <v>268</v>
      </c>
      <c r="B108" s="20" t="s">
        <v>246</v>
      </c>
      <c r="C108" s="26"/>
      <c r="D108" s="21"/>
      <c r="E108" s="21"/>
      <c r="F108" s="21"/>
      <c r="G108" s="21"/>
      <c r="H108" s="21">
        <f>4000+74071.5+900</f>
        <v>78971.5</v>
      </c>
      <c r="I108" s="21"/>
      <c r="J108" s="21"/>
      <c r="K108" s="67">
        <f t="shared" si="12"/>
        <v>78971.5</v>
      </c>
      <c r="L108" s="27">
        <v>78071.5</v>
      </c>
      <c r="M108" s="83"/>
      <c r="N108" s="27">
        <v>74071.5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</row>
    <row r="109" spans="1:12" s="18" customFormat="1" ht="30" customHeight="1">
      <c r="A109" s="239" t="s">
        <v>317</v>
      </c>
      <c r="B109" s="20" t="s">
        <v>323</v>
      </c>
      <c r="C109" s="26">
        <f>D109+E109+F109</f>
        <v>2530.9</v>
      </c>
      <c r="D109" s="26"/>
      <c r="E109" s="26"/>
      <c r="F109" s="26">
        <f>1030.9+1500</f>
        <v>2530.9</v>
      </c>
      <c r="G109" s="26"/>
      <c r="H109" s="26"/>
      <c r="I109" s="26"/>
      <c r="J109" s="26"/>
      <c r="K109" s="67">
        <f t="shared" si="12"/>
        <v>2530.9</v>
      </c>
      <c r="L109" s="19"/>
    </row>
    <row r="110" spans="1:12" s="18" customFormat="1" ht="25.5" customHeight="1">
      <c r="A110" s="239"/>
      <c r="B110" s="17" t="s">
        <v>320</v>
      </c>
      <c r="C110" s="26">
        <f>D110+E110+F110</f>
        <v>1030.9</v>
      </c>
      <c r="D110" s="26"/>
      <c r="E110" s="26"/>
      <c r="F110" s="26">
        <v>1030.9</v>
      </c>
      <c r="G110" s="26"/>
      <c r="H110" s="26"/>
      <c r="I110" s="26"/>
      <c r="J110" s="26"/>
      <c r="K110" s="67">
        <f t="shared" si="12"/>
        <v>1030.9</v>
      </c>
      <c r="L110" s="19"/>
    </row>
    <row r="111" spans="1:12" s="18" customFormat="1" ht="25.5" customHeight="1">
      <c r="A111" s="373" t="s">
        <v>58</v>
      </c>
      <c r="B111" s="20" t="s">
        <v>316</v>
      </c>
      <c r="C111" s="26"/>
      <c r="D111" s="26"/>
      <c r="E111" s="26"/>
      <c r="F111" s="26"/>
      <c r="G111" s="26"/>
      <c r="H111" s="26">
        <f>9916.3-98.6</f>
        <v>9817.699999999999</v>
      </c>
      <c r="I111" s="26"/>
      <c r="J111" s="26"/>
      <c r="K111" s="67">
        <f t="shared" si="12"/>
        <v>9817.699999999999</v>
      </c>
      <c r="L111" s="19"/>
    </row>
    <row r="112" spans="1:59" ht="15" customHeight="1">
      <c r="A112" s="58"/>
      <c r="B112" s="86" t="s">
        <v>315</v>
      </c>
      <c r="C112" s="41">
        <f>D112+E112+F112</f>
        <v>630</v>
      </c>
      <c r="D112" s="23"/>
      <c r="E112" s="23"/>
      <c r="F112" s="23">
        <f>F113</f>
        <v>630</v>
      </c>
      <c r="G112" s="23"/>
      <c r="H112" s="23"/>
      <c r="I112" s="23">
        <f>H112</f>
        <v>0</v>
      </c>
      <c r="J112" s="23" t="e">
        <f>#REF!</f>
        <v>#REF!</v>
      </c>
      <c r="K112" s="81">
        <f t="shared" si="12"/>
        <v>630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</row>
    <row r="113" spans="1:59" ht="25.5" customHeight="1">
      <c r="A113" s="64" t="s">
        <v>318</v>
      </c>
      <c r="B113" s="45" t="s">
        <v>324</v>
      </c>
      <c r="C113" s="26">
        <f>D113+E113+F113</f>
        <v>630</v>
      </c>
      <c r="D113" s="124"/>
      <c r="E113" s="124"/>
      <c r="F113" s="21">
        <f>300+330</f>
        <v>630</v>
      </c>
      <c r="G113" s="21"/>
      <c r="H113" s="21"/>
      <c r="I113" s="21"/>
      <c r="J113" s="21"/>
      <c r="K113" s="67">
        <f t="shared" si="12"/>
        <v>630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</row>
    <row r="114" spans="1:59" ht="23.25" customHeight="1">
      <c r="A114" s="64"/>
      <c r="B114" s="17" t="s">
        <v>320</v>
      </c>
      <c r="C114" s="26">
        <v>300</v>
      </c>
      <c r="D114" s="124"/>
      <c r="E114" s="124"/>
      <c r="F114" s="21">
        <v>300</v>
      </c>
      <c r="G114" s="21"/>
      <c r="H114" s="21"/>
      <c r="I114" s="21"/>
      <c r="J114" s="21"/>
      <c r="K114" s="67">
        <f t="shared" si="12"/>
        <v>300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</row>
    <row r="115" spans="1:59" s="18" customFormat="1" ht="38.25" customHeight="1">
      <c r="A115" s="56"/>
      <c r="B115" s="52" t="s">
        <v>408</v>
      </c>
      <c r="C115" s="41">
        <f>C116+C118</f>
        <v>1798</v>
      </c>
      <c r="D115" s="123">
        <f>D116</f>
        <v>0</v>
      </c>
      <c r="E115" s="123">
        <f>E116</f>
        <v>0</v>
      </c>
      <c r="F115" s="41">
        <f>F116+F118</f>
        <v>1798</v>
      </c>
      <c r="G115" s="41"/>
      <c r="H115" s="23"/>
      <c r="I115" s="23"/>
      <c r="J115" s="23"/>
      <c r="K115" s="81">
        <f t="shared" si="12"/>
        <v>1798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</row>
    <row r="116" spans="1:59" ht="29.25" customHeight="1">
      <c r="A116" s="58" t="s">
        <v>319</v>
      </c>
      <c r="B116" s="240" t="s">
        <v>325</v>
      </c>
      <c r="C116" s="26">
        <f>D116+E116+F116</f>
        <v>1798</v>
      </c>
      <c r="D116" s="124"/>
      <c r="E116" s="124"/>
      <c r="F116" s="21">
        <f>220+1000+210+368</f>
        <v>1798</v>
      </c>
      <c r="G116" s="21"/>
      <c r="H116" s="21"/>
      <c r="I116" s="21"/>
      <c r="J116" s="21"/>
      <c r="K116" s="67">
        <f t="shared" si="12"/>
        <v>1798</v>
      </c>
      <c r="L116" s="83"/>
      <c r="M116" s="126"/>
      <c r="N116" s="83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</row>
    <row r="117" spans="1:59" ht="24" customHeight="1">
      <c r="A117" s="58"/>
      <c r="B117" s="17" t="s">
        <v>320</v>
      </c>
      <c r="C117" s="26">
        <v>220</v>
      </c>
      <c r="D117" s="124"/>
      <c r="E117" s="124"/>
      <c r="F117" s="21">
        <v>220</v>
      </c>
      <c r="G117" s="21"/>
      <c r="H117" s="21"/>
      <c r="I117" s="21"/>
      <c r="J117" s="21"/>
      <c r="K117" s="67">
        <f t="shared" si="12"/>
        <v>220</v>
      </c>
      <c r="L117" s="83"/>
      <c r="M117" s="126"/>
      <c r="N117" s="83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</row>
    <row r="118" spans="1:13" s="18" customFormat="1" ht="39.75" customHeight="1" hidden="1">
      <c r="A118" s="58" t="s">
        <v>59</v>
      </c>
      <c r="B118" s="65" t="s">
        <v>111</v>
      </c>
      <c r="C118" s="113">
        <f>D118+E118+F118</f>
        <v>0</v>
      </c>
      <c r="D118" s="26"/>
      <c r="E118" s="26"/>
      <c r="F118" s="26">
        <f>F119</f>
        <v>0</v>
      </c>
      <c r="G118" s="26"/>
      <c r="H118" s="26">
        <f>SUM(H120:H123)</f>
        <v>0</v>
      </c>
      <c r="I118" s="26"/>
      <c r="J118" s="26"/>
      <c r="K118" s="115">
        <f>C118+H118</f>
        <v>0</v>
      </c>
      <c r="L118" s="175"/>
      <c r="M118" s="23">
        <f>L118-C118</f>
        <v>0</v>
      </c>
    </row>
    <row r="119" spans="1:13" s="18" customFormat="1" ht="39.75" customHeight="1" hidden="1">
      <c r="A119" s="58"/>
      <c r="B119" s="65" t="s">
        <v>422</v>
      </c>
      <c r="C119" s="113">
        <f>D119+E119+F119</f>
        <v>0</v>
      </c>
      <c r="D119" s="26"/>
      <c r="E119" s="26"/>
      <c r="F119" s="26">
        <f>368-368</f>
        <v>0</v>
      </c>
      <c r="G119" s="26"/>
      <c r="H119" s="26"/>
      <c r="I119" s="26"/>
      <c r="J119" s="26"/>
      <c r="K119" s="115">
        <f>C119+H119</f>
        <v>0</v>
      </c>
      <c r="L119" s="175"/>
      <c r="M119" s="23"/>
    </row>
    <row r="120" spans="1:59" s="18" customFormat="1" ht="12.75">
      <c r="A120" s="56"/>
      <c r="B120" s="52" t="s">
        <v>385</v>
      </c>
      <c r="C120" s="41">
        <f>C121</f>
        <v>1000</v>
      </c>
      <c r="D120" s="41"/>
      <c r="E120" s="41"/>
      <c r="F120" s="41">
        <f>F121</f>
        <v>1000</v>
      </c>
      <c r="G120" s="123">
        <f>G121</f>
        <v>0</v>
      </c>
      <c r="H120" s="23"/>
      <c r="I120" s="23"/>
      <c r="J120" s="23"/>
      <c r="K120" s="81">
        <f aca="true" t="shared" si="13" ref="K120:K126">C120+H120</f>
        <v>1000</v>
      </c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</row>
    <row r="121" spans="1:59" s="18" customFormat="1" ht="12.75">
      <c r="A121" s="64" t="s">
        <v>386</v>
      </c>
      <c r="B121" s="20" t="s">
        <v>387</v>
      </c>
      <c r="C121" s="26">
        <f>D121+E121+F121</f>
        <v>1000</v>
      </c>
      <c r="D121" s="124"/>
      <c r="E121" s="124"/>
      <c r="F121" s="21">
        <v>1000</v>
      </c>
      <c r="G121" s="124"/>
      <c r="H121" s="21"/>
      <c r="I121" s="21"/>
      <c r="J121" s="21"/>
      <c r="K121" s="67">
        <f t="shared" si="13"/>
        <v>1000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</row>
    <row r="122" spans="1:59" s="18" customFormat="1" ht="25.5">
      <c r="A122" s="64"/>
      <c r="B122" s="49" t="s">
        <v>388</v>
      </c>
      <c r="C122" s="41">
        <f>D122+E122+F122</f>
        <v>500</v>
      </c>
      <c r="D122" s="123"/>
      <c r="E122" s="123"/>
      <c r="F122" s="41">
        <f>F123</f>
        <v>500</v>
      </c>
      <c r="G122" s="21"/>
      <c r="H122" s="21"/>
      <c r="I122" s="21"/>
      <c r="J122" s="21"/>
      <c r="K122" s="81">
        <f t="shared" si="13"/>
        <v>500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</row>
    <row r="123" spans="1:59" s="18" customFormat="1" ht="25.5">
      <c r="A123" s="58" t="s">
        <v>94</v>
      </c>
      <c r="B123" s="20" t="s">
        <v>244</v>
      </c>
      <c r="C123" s="26">
        <f>D123+E123+F123</f>
        <v>500</v>
      </c>
      <c r="D123" s="21"/>
      <c r="E123" s="21"/>
      <c r="F123" s="21">
        <v>500</v>
      </c>
      <c r="G123" s="21"/>
      <c r="H123" s="21"/>
      <c r="I123" s="21"/>
      <c r="J123" s="21"/>
      <c r="K123" s="67">
        <f t="shared" si="13"/>
        <v>500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</row>
    <row r="124" spans="1:68" s="18" customFormat="1" ht="25.5">
      <c r="A124" s="63"/>
      <c r="B124" s="22" t="s">
        <v>394</v>
      </c>
      <c r="C124" s="41">
        <f>D124+E124+F124</f>
        <v>1217.8</v>
      </c>
      <c r="D124" s="23"/>
      <c r="E124" s="23"/>
      <c r="F124" s="23">
        <f>F125+F126</f>
        <v>1217.8</v>
      </c>
      <c r="G124" s="23"/>
      <c r="H124" s="23"/>
      <c r="I124" s="23"/>
      <c r="J124" s="23"/>
      <c r="K124" s="81">
        <f t="shared" si="13"/>
        <v>1217.8</v>
      </c>
      <c r="L124" s="35"/>
      <c r="M124" s="35"/>
      <c r="N124" s="41">
        <f>O124+P124+Q124</f>
        <v>0</v>
      </c>
      <c r="O124" s="23"/>
      <c r="P124" s="23"/>
      <c r="Q124" s="23">
        <f>Q125</f>
        <v>0</v>
      </c>
      <c r="R124" s="23"/>
      <c r="S124" s="23">
        <f>S125</f>
        <v>30</v>
      </c>
      <c r="T124" s="23"/>
      <c r="U124" s="23"/>
      <c r="V124" s="81">
        <f>N124+S124</f>
        <v>30</v>
      </c>
      <c r="W124" s="184">
        <f aca="true" t="shared" si="14" ref="W124:AC125">C124-N124</f>
        <v>1217.8</v>
      </c>
      <c r="X124" s="184">
        <f t="shared" si="14"/>
        <v>0</v>
      </c>
      <c r="Y124" s="184">
        <f t="shared" si="14"/>
        <v>0</v>
      </c>
      <c r="Z124" s="184">
        <f t="shared" si="14"/>
        <v>1217.8</v>
      </c>
      <c r="AA124" s="184">
        <f t="shared" si="14"/>
        <v>0</v>
      </c>
      <c r="AB124" s="184">
        <f t="shared" si="14"/>
        <v>-30</v>
      </c>
      <c r="AC124" s="184">
        <f t="shared" si="14"/>
        <v>0</v>
      </c>
      <c r="AD124" s="184">
        <f>K124-V124</f>
        <v>1187.8</v>
      </c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</row>
    <row r="125" spans="1:68" s="18" customFormat="1" ht="51">
      <c r="A125" s="58" t="s">
        <v>72</v>
      </c>
      <c r="B125" s="20" t="s">
        <v>73</v>
      </c>
      <c r="C125" s="26">
        <f>D125+E125+F125</f>
        <v>217.8</v>
      </c>
      <c r="D125" s="21"/>
      <c r="E125" s="21"/>
      <c r="F125" s="21">
        <v>217.8</v>
      </c>
      <c r="G125" s="21"/>
      <c r="H125" s="21"/>
      <c r="I125" s="21"/>
      <c r="J125" s="21"/>
      <c r="K125" s="67">
        <f t="shared" si="13"/>
        <v>217.8</v>
      </c>
      <c r="L125" s="35"/>
      <c r="M125" s="35"/>
      <c r="N125" s="26">
        <f>O125+P125+Q125</f>
        <v>0</v>
      </c>
      <c r="O125" s="21"/>
      <c r="P125" s="21"/>
      <c r="Q125" s="21"/>
      <c r="R125" s="21"/>
      <c r="S125" s="21">
        <v>30</v>
      </c>
      <c r="T125" s="21"/>
      <c r="U125" s="21"/>
      <c r="V125" s="67">
        <f>N125+S125</f>
        <v>30</v>
      </c>
      <c r="W125" s="184">
        <f t="shared" si="14"/>
        <v>217.8</v>
      </c>
      <c r="X125" s="184">
        <f t="shared" si="14"/>
        <v>0</v>
      </c>
      <c r="Y125" s="184">
        <f t="shared" si="14"/>
        <v>0</v>
      </c>
      <c r="Z125" s="184">
        <f t="shared" si="14"/>
        <v>217.8</v>
      </c>
      <c r="AA125" s="184">
        <f t="shared" si="14"/>
        <v>0</v>
      </c>
      <c r="AB125" s="184">
        <f t="shared" si="14"/>
        <v>-30</v>
      </c>
      <c r="AC125" s="184">
        <f t="shared" si="14"/>
        <v>0</v>
      </c>
      <c r="AD125" s="184">
        <f>K125-V125</f>
        <v>187.8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</row>
    <row r="126" spans="1:59" ht="27" customHeight="1">
      <c r="A126" s="64" t="s">
        <v>427</v>
      </c>
      <c r="B126" s="65" t="s">
        <v>428</v>
      </c>
      <c r="C126" s="26">
        <f>F126</f>
        <v>1000</v>
      </c>
      <c r="D126" s="26"/>
      <c r="E126" s="26"/>
      <c r="F126" s="26">
        <v>1000</v>
      </c>
      <c r="G126" s="26"/>
      <c r="H126" s="26"/>
      <c r="I126" s="26"/>
      <c r="J126" s="350"/>
      <c r="K126" s="59">
        <f t="shared" si="13"/>
        <v>1000</v>
      </c>
      <c r="L126" s="35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8" customFormat="1" ht="16.5" customHeight="1">
      <c r="A127" s="56"/>
      <c r="B127" s="51" t="s">
        <v>194</v>
      </c>
      <c r="C127" s="41">
        <f>D127+E127+F127+G127</f>
        <v>2451876.309</v>
      </c>
      <c r="D127" s="41">
        <f>D128+D129+D131+D132+D133+D134+D135+D136+D137+D138+D139+D148+D142+D147+D140+D146+D143</f>
        <v>0</v>
      </c>
      <c r="E127" s="41">
        <f>E128+E129+E131+E132+E133+E134+E135+E136+E137+E138+E139+E148+E142+E147+E140+E146+E143</f>
        <v>0</v>
      </c>
      <c r="F127" s="41">
        <f>F128+F129+F131+F132+F133+F134+F135+F136+F137+F138+F139+F148+F142+F147+F140+F146+F143+F150</f>
        <v>2451876.309</v>
      </c>
      <c r="G127" s="41">
        <f>G128+G129+G131+G132+G133+G134+G135+G136+G137+G138+G139+G148+G142+G147+G140+G146+G143+G150</f>
        <v>0</v>
      </c>
      <c r="H127" s="41">
        <f>H128+H129+H131+H132+H133+H134+H135+H136+H137+H138+H139+H148+H142+H147+H140+H146+H143+H149+H141</f>
        <v>739295.7000000001</v>
      </c>
      <c r="I127" s="41">
        <f>I128+I129+I131+I132+I133+I134+I135+I136+I137+I138+I139+I148+I142+I147+I140+I146+I143</f>
        <v>0</v>
      </c>
      <c r="J127" s="41" t="e">
        <f>J128+#REF!+#REF!+J129+#REF!+#REF!+J131+J132+J133+J134+J135+J136+J137+J138+J139+#REF!+J148+J142+#REF!+#REF!+#REF!+J147+#REF!+#REF!+J140+J146+J143</f>
        <v>#REF!</v>
      </c>
      <c r="K127" s="81">
        <f>H127+C127</f>
        <v>3191172.009</v>
      </c>
      <c r="L127" s="82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</row>
    <row r="128" spans="1:59" ht="27" customHeight="1">
      <c r="A128" s="58" t="s">
        <v>189</v>
      </c>
      <c r="B128" s="17" t="s">
        <v>243</v>
      </c>
      <c r="C128" s="26">
        <f>D128+E128+F128</f>
        <v>0</v>
      </c>
      <c r="D128" s="21"/>
      <c r="E128" s="21"/>
      <c r="F128" s="21"/>
      <c r="G128" s="21"/>
      <c r="H128" s="21">
        <f>52200-450</f>
        <v>51750</v>
      </c>
      <c r="I128" s="21"/>
      <c r="J128" s="21"/>
      <c r="K128" s="67">
        <f aca="true" t="shared" si="15" ref="K128:K136">C128+H128</f>
        <v>51750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</row>
    <row r="129" spans="1:59" ht="24.75" customHeight="1">
      <c r="A129" s="58" t="s">
        <v>94</v>
      </c>
      <c r="B129" s="20" t="s">
        <v>244</v>
      </c>
      <c r="C129" s="26">
        <f>D129+E129+F129</f>
        <v>13787.900000000001</v>
      </c>
      <c r="D129" s="21"/>
      <c r="E129" s="21"/>
      <c r="F129" s="21">
        <f>102020.3-930.8-3071.8-10379.7+93+305-2196-500-26507.9-500-500-5000-8000-1000-290-310-800-365-3464.6-5000-1000-173.1-300-180-3500-300-2000-4-500-3197.6-6719-2000-1000-1679.7-575+6242-250-316-1500-2100-1000+2237.8</f>
        <v>13787.900000000001</v>
      </c>
      <c r="G129" s="21"/>
      <c r="H129" s="21"/>
      <c r="I129" s="21">
        <f>H129</f>
        <v>0</v>
      </c>
      <c r="J129" s="21"/>
      <c r="K129" s="67">
        <f t="shared" si="15"/>
        <v>13787.900000000001</v>
      </c>
      <c r="L129" s="83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</row>
    <row r="130" spans="1:59" ht="26.25" customHeight="1">
      <c r="A130" s="58" t="s">
        <v>55</v>
      </c>
      <c r="B130" s="17" t="s">
        <v>56</v>
      </c>
      <c r="C130" s="26">
        <f>D130+E130+F130</f>
        <v>0</v>
      </c>
      <c r="D130" s="21"/>
      <c r="E130" s="21"/>
      <c r="F130" s="21"/>
      <c r="G130" s="21"/>
      <c r="H130" s="21"/>
      <c r="I130" s="21"/>
      <c r="J130" s="21"/>
      <c r="K130" s="67">
        <f t="shared" si="15"/>
        <v>0</v>
      </c>
      <c r="L130" s="83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</row>
    <row r="131" spans="1:59" ht="63.75">
      <c r="A131" s="58" t="s">
        <v>296</v>
      </c>
      <c r="B131" s="20" t="s">
        <v>246</v>
      </c>
      <c r="C131" s="130">
        <f>D131+E131+F131</f>
        <v>0</v>
      </c>
      <c r="D131" s="21"/>
      <c r="E131" s="21"/>
      <c r="F131" s="21"/>
      <c r="G131" s="21"/>
      <c r="H131" s="21">
        <f>101400-15828.5-74071.5</f>
        <v>11500</v>
      </c>
      <c r="I131" s="21"/>
      <c r="J131" s="21"/>
      <c r="K131" s="67">
        <f t="shared" si="15"/>
        <v>11500</v>
      </c>
      <c r="L131" s="27">
        <v>28328.5</v>
      </c>
      <c r="M131" s="83"/>
      <c r="N131" s="83"/>
      <c r="O131" s="27">
        <v>-73071.5</v>
      </c>
      <c r="P131" s="27">
        <v>1000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</row>
    <row r="132" spans="1:59" ht="17.25" customHeight="1">
      <c r="A132" s="64" t="s">
        <v>295</v>
      </c>
      <c r="B132" s="36" t="s">
        <v>248</v>
      </c>
      <c r="C132" s="26">
        <f aca="true" t="shared" si="16" ref="C132:C150">D132+E132+F132</f>
        <v>7500</v>
      </c>
      <c r="D132" s="21"/>
      <c r="E132" s="21"/>
      <c r="F132" s="21">
        <f>10000-1500-1000</f>
        <v>7500</v>
      </c>
      <c r="G132" s="21"/>
      <c r="H132" s="21"/>
      <c r="I132" s="21"/>
      <c r="J132" s="21"/>
      <c r="K132" s="67">
        <f t="shared" si="15"/>
        <v>7500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</row>
    <row r="133" spans="1:59" ht="24.75" customHeight="1">
      <c r="A133" s="64" t="s">
        <v>190</v>
      </c>
      <c r="B133" s="20" t="s">
        <v>253</v>
      </c>
      <c r="C133" s="26">
        <f t="shared" si="16"/>
        <v>396416.8</v>
      </c>
      <c r="D133" s="21"/>
      <c r="E133" s="21"/>
      <c r="F133" s="26">
        <f>60732-17000+26507.9+25000-98.6+5000+270+6719+15000+20000+21023.4+100000+15000+1314+133.2+112479.7-150+2486.2+1000+2000-1000</f>
        <v>396416.8</v>
      </c>
      <c r="G133" s="26"/>
      <c r="H133" s="21"/>
      <c r="I133" s="21"/>
      <c r="J133" s="21"/>
      <c r="K133" s="67">
        <f t="shared" si="15"/>
        <v>396416.8</v>
      </c>
      <c r="L133" s="83"/>
      <c r="M133" s="83"/>
      <c r="N133" s="83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</row>
    <row r="134" spans="1:14" s="18" customFormat="1" ht="25.5">
      <c r="A134" s="64" t="s">
        <v>283</v>
      </c>
      <c r="B134" s="42" t="s">
        <v>284</v>
      </c>
      <c r="C134" s="26">
        <f t="shared" si="16"/>
        <v>164858.6</v>
      </c>
      <c r="D134" s="41"/>
      <c r="E134" s="41"/>
      <c r="F134" s="26">
        <f>46445.6+575+2100+115738</f>
        <v>164858.6</v>
      </c>
      <c r="G134" s="26"/>
      <c r="H134" s="41"/>
      <c r="I134" s="41"/>
      <c r="J134" s="41"/>
      <c r="K134" s="59">
        <f t="shared" si="15"/>
        <v>164858.6</v>
      </c>
      <c r="L134" s="24"/>
      <c r="M134" s="25"/>
      <c r="N134" s="177">
        <f>H131+H108</f>
        <v>90471.5</v>
      </c>
    </row>
    <row r="135" spans="1:59" ht="55.5" customHeight="1">
      <c r="A135" s="64" t="s">
        <v>100</v>
      </c>
      <c r="B135" s="68" t="s">
        <v>97</v>
      </c>
      <c r="C135" s="26">
        <f t="shared" si="16"/>
        <v>16467.9</v>
      </c>
      <c r="D135" s="21"/>
      <c r="E135" s="21"/>
      <c r="F135" s="26">
        <v>16467.9</v>
      </c>
      <c r="G135" s="26"/>
      <c r="H135" s="21"/>
      <c r="I135" s="21"/>
      <c r="J135" s="21"/>
      <c r="K135" s="67">
        <f t="shared" si="15"/>
        <v>16467.9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</row>
    <row r="136" spans="1:59" ht="57" customHeight="1">
      <c r="A136" s="64" t="s">
        <v>4</v>
      </c>
      <c r="B136" s="68" t="s">
        <v>2</v>
      </c>
      <c r="C136" s="26">
        <f t="shared" si="16"/>
        <v>1377580.6999999997</v>
      </c>
      <c r="D136" s="41"/>
      <c r="E136" s="41"/>
      <c r="F136" s="43">
        <f>1319445.9+49848.9+8285.9</f>
        <v>1377580.6999999997</v>
      </c>
      <c r="G136" s="43"/>
      <c r="H136" s="41"/>
      <c r="I136" s="41"/>
      <c r="J136" s="41"/>
      <c r="K136" s="59">
        <f t="shared" si="15"/>
        <v>1377580.6999999997</v>
      </c>
      <c r="L136" s="7"/>
      <c r="M136" s="18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13" s="18" customFormat="1" ht="69" customHeight="1">
      <c r="A137" s="64" t="s">
        <v>60</v>
      </c>
      <c r="B137" s="143" t="s">
        <v>82</v>
      </c>
      <c r="C137" s="26">
        <f t="shared" si="16"/>
        <v>185051.09999999998</v>
      </c>
      <c r="D137" s="85"/>
      <c r="E137" s="85"/>
      <c r="F137" s="137">
        <f>279217.8-94166.7</f>
        <v>185051.09999999998</v>
      </c>
      <c r="G137" s="137"/>
      <c r="H137" s="43">
        <v>431291.4</v>
      </c>
      <c r="I137" s="161"/>
      <c r="J137" s="161"/>
      <c r="K137" s="162">
        <f>H137+C137</f>
        <v>616342.5</v>
      </c>
      <c r="L137" s="24"/>
      <c r="M137" s="25"/>
    </row>
    <row r="138" spans="1:13" s="18" customFormat="1" ht="104.25" customHeight="1">
      <c r="A138" s="64" t="s">
        <v>61</v>
      </c>
      <c r="B138" s="349" t="s">
        <v>276</v>
      </c>
      <c r="C138" s="26">
        <f t="shared" si="16"/>
        <v>195523.4</v>
      </c>
      <c r="D138" s="26"/>
      <c r="E138" s="26"/>
      <c r="F138" s="43">
        <f>147643.8+47879.6</f>
        <v>195523.4</v>
      </c>
      <c r="G138" s="43"/>
      <c r="H138" s="26"/>
      <c r="I138" s="26"/>
      <c r="J138" s="26"/>
      <c r="K138" s="67">
        <f>H138+C138</f>
        <v>195523.4</v>
      </c>
      <c r="L138" s="24"/>
      <c r="M138" s="25"/>
    </row>
    <row r="139" spans="1:13" s="18" customFormat="1" ht="69.75" customHeight="1">
      <c r="A139" s="114" t="s">
        <v>62</v>
      </c>
      <c r="B139" s="65" t="s">
        <v>5</v>
      </c>
      <c r="C139" s="26">
        <f t="shared" si="16"/>
        <v>23241.9</v>
      </c>
      <c r="D139" s="113"/>
      <c r="E139" s="113"/>
      <c r="F139" s="137">
        <f>31741.9-8500</f>
        <v>23241.9</v>
      </c>
      <c r="G139" s="248"/>
      <c r="H139" s="113"/>
      <c r="I139" s="113"/>
      <c r="J139" s="113"/>
      <c r="K139" s="117">
        <f aca="true" t="shared" si="17" ref="K139:K150">C139+H139</f>
        <v>23241.9</v>
      </c>
      <c r="L139" s="24"/>
      <c r="M139" s="25"/>
    </row>
    <row r="140" spans="1:12" s="18" customFormat="1" ht="82.5" customHeight="1">
      <c r="A140" s="114" t="s">
        <v>285</v>
      </c>
      <c r="B140" s="164" t="s">
        <v>86</v>
      </c>
      <c r="C140" s="26">
        <f t="shared" si="16"/>
        <v>0</v>
      </c>
      <c r="D140" s="26"/>
      <c r="E140" s="26"/>
      <c r="F140" s="113"/>
      <c r="G140" s="113"/>
      <c r="H140" s="43"/>
      <c r="I140" s="43"/>
      <c r="J140" s="26"/>
      <c r="K140" s="59">
        <f t="shared" si="17"/>
        <v>0</v>
      </c>
      <c r="L140" s="19"/>
    </row>
    <row r="141" spans="1:13" s="18" customFormat="1" ht="117" customHeight="1">
      <c r="A141" s="114" t="s">
        <v>432</v>
      </c>
      <c r="B141" s="65" t="s">
        <v>433</v>
      </c>
      <c r="C141" s="113"/>
      <c r="D141" s="113"/>
      <c r="E141" s="113"/>
      <c r="F141" s="137"/>
      <c r="G141" s="248"/>
      <c r="H141" s="113">
        <v>7721.8</v>
      </c>
      <c r="I141" s="113"/>
      <c r="J141" s="113"/>
      <c r="K141" s="115">
        <f t="shared" si="17"/>
        <v>7721.8</v>
      </c>
      <c r="L141" s="175"/>
      <c r="M141" s="23"/>
    </row>
    <row r="142" spans="1:12" s="18" customFormat="1" ht="76.5">
      <c r="A142" s="64" t="s">
        <v>225</v>
      </c>
      <c r="B142" s="45" t="s">
        <v>305</v>
      </c>
      <c r="C142" s="26">
        <f t="shared" si="16"/>
        <v>28237.4</v>
      </c>
      <c r="D142" s="26"/>
      <c r="E142" s="26"/>
      <c r="F142" s="26">
        <v>28237.4</v>
      </c>
      <c r="G142" s="26"/>
      <c r="H142" s="26"/>
      <c r="I142" s="26"/>
      <c r="J142" s="26"/>
      <c r="K142" s="59">
        <f t="shared" si="17"/>
        <v>28237.4</v>
      </c>
      <c r="L142" s="19"/>
    </row>
    <row r="143" spans="1:12" s="18" customFormat="1" ht="41.25" customHeight="1">
      <c r="A143" s="408" t="s">
        <v>59</v>
      </c>
      <c r="B143" s="65" t="s">
        <v>111</v>
      </c>
      <c r="C143" s="26">
        <f t="shared" si="16"/>
        <v>549</v>
      </c>
      <c r="D143" s="26"/>
      <c r="E143" s="26"/>
      <c r="F143" s="26">
        <f>F145</f>
        <v>549</v>
      </c>
      <c r="G143" s="26"/>
      <c r="H143" s="26">
        <f>H145+H144</f>
        <v>17791.1</v>
      </c>
      <c r="I143" s="26"/>
      <c r="J143" s="26"/>
      <c r="K143" s="59">
        <f>C143+H143</f>
        <v>18340.1</v>
      </c>
      <c r="L143" s="19"/>
    </row>
    <row r="144" spans="1:12" s="18" customFormat="1" ht="38.25">
      <c r="A144" s="409"/>
      <c r="B144" s="65" t="s">
        <v>429</v>
      </c>
      <c r="C144" s="26"/>
      <c r="D144" s="26"/>
      <c r="E144" s="26"/>
      <c r="F144" s="26"/>
      <c r="G144" s="26"/>
      <c r="H144" s="26">
        <f>1000+15828.5-900</f>
        <v>15928.5</v>
      </c>
      <c r="I144" s="26"/>
      <c r="J144" s="26"/>
      <c r="K144" s="59">
        <f t="shared" si="17"/>
        <v>15928.5</v>
      </c>
      <c r="L144" s="19"/>
    </row>
    <row r="145" spans="1:12" s="18" customFormat="1" ht="41.25" customHeight="1">
      <c r="A145" s="409"/>
      <c r="B145" s="65" t="s">
        <v>430</v>
      </c>
      <c r="C145" s="26">
        <f t="shared" si="16"/>
        <v>549</v>
      </c>
      <c r="D145" s="26"/>
      <c r="E145" s="26"/>
      <c r="F145" s="26">
        <v>549</v>
      </c>
      <c r="G145" s="26"/>
      <c r="H145" s="26">
        <v>1862.6</v>
      </c>
      <c r="I145" s="26"/>
      <c r="J145" s="26"/>
      <c r="K145" s="67">
        <f>C145+H145</f>
        <v>2411.6</v>
      </c>
      <c r="L145" s="19"/>
    </row>
    <row r="146" spans="1:12" s="18" customFormat="1" ht="83.25" customHeight="1">
      <c r="A146" s="64" t="s">
        <v>286</v>
      </c>
      <c r="B146" s="65" t="s">
        <v>271</v>
      </c>
      <c r="C146" s="26">
        <f t="shared" si="16"/>
        <v>8533.909</v>
      </c>
      <c r="D146" s="26"/>
      <c r="E146" s="26"/>
      <c r="F146" s="26">
        <f>8611.6+166+256.309-500</f>
        <v>8533.909</v>
      </c>
      <c r="G146" s="26"/>
      <c r="H146" s="26"/>
      <c r="I146" s="26"/>
      <c r="J146" s="26"/>
      <c r="K146" s="59">
        <f t="shared" si="17"/>
        <v>8533.909</v>
      </c>
      <c r="L146" s="19"/>
    </row>
    <row r="147" spans="1:13" s="18" customFormat="1" ht="15.75" customHeight="1">
      <c r="A147" s="64" t="s">
        <v>63</v>
      </c>
      <c r="B147" s="65" t="s">
        <v>35</v>
      </c>
      <c r="C147" s="26">
        <f t="shared" si="16"/>
        <v>33350.1</v>
      </c>
      <c r="D147" s="26"/>
      <c r="E147" s="26"/>
      <c r="F147" s="26">
        <f>10000+5000+8000+98.6+340+424.2+250+2000+3699.3+4740+4000+1440-500-2000-500+205+208+575.1+150-2000-205-2000-575.1</f>
        <v>33350.1</v>
      </c>
      <c r="G147" s="26"/>
      <c r="H147" s="26"/>
      <c r="I147" s="26"/>
      <c r="J147" s="26"/>
      <c r="K147" s="67">
        <f t="shared" si="17"/>
        <v>33350.1</v>
      </c>
      <c r="L147" s="24"/>
      <c r="M147" s="177"/>
    </row>
    <row r="148" spans="1:12" s="18" customFormat="1" ht="60" customHeight="1">
      <c r="A148" s="64" t="s">
        <v>226</v>
      </c>
      <c r="B148" s="65" t="s">
        <v>70</v>
      </c>
      <c r="C148" s="26">
        <f t="shared" si="16"/>
        <v>300</v>
      </c>
      <c r="D148" s="26"/>
      <c r="E148" s="26"/>
      <c r="F148" s="26">
        <v>300</v>
      </c>
      <c r="G148" s="26"/>
      <c r="H148" s="26"/>
      <c r="I148" s="26"/>
      <c r="J148" s="26"/>
      <c r="K148" s="67">
        <f t="shared" si="17"/>
        <v>300</v>
      </c>
      <c r="L148" s="24"/>
    </row>
    <row r="149" spans="1:12" s="18" customFormat="1" ht="107.25" customHeight="1">
      <c r="A149" s="64" t="s">
        <v>308</v>
      </c>
      <c r="B149" s="65" t="s">
        <v>405</v>
      </c>
      <c r="C149" s="26"/>
      <c r="D149" s="185"/>
      <c r="E149" s="185"/>
      <c r="F149" s="185"/>
      <c r="G149" s="185"/>
      <c r="H149" s="185">
        <f>47709+111541+34554.5+25436.9</f>
        <v>219241.4</v>
      </c>
      <c r="I149" s="185"/>
      <c r="J149" s="185"/>
      <c r="K149" s="67">
        <f t="shared" si="17"/>
        <v>219241.4</v>
      </c>
      <c r="L149" s="24"/>
    </row>
    <row r="150" spans="1:12" s="18" customFormat="1" ht="38.25">
      <c r="A150" s="64" t="s">
        <v>339</v>
      </c>
      <c r="B150" s="65" t="s">
        <v>338</v>
      </c>
      <c r="C150" s="26">
        <f t="shared" si="16"/>
        <v>477.6000000000001</v>
      </c>
      <c r="D150" s="185"/>
      <c r="E150" s="185"/>
      <c r="F150" s="26">
        <f>236.1+42+18.3+20.1+28.5+91.4+41.2</f>
        <v>477.6000000000001</v>
      </c>
      <c r="G150" s="185"/>
      <c r="H150" s="185"/>
      <c r="I150" s="185"/>
      <c r="J150" s="185"/>
      <c r="K150" s="67">
        <f t="shared" si="17"/>
        <v>477.6000000000001</v>
      </c>
      <c r="L150" s="24"/>
    </row>
    <row r="151" spans="1:59" s="18" customFormat="1" ht="21" customHeight="1" thickBot="1">
      <c r="A151" s="415" t="s">
        <v>254</v>
      </c>
      <c r="B151" s="416"/>
      <c r="C151" s="87">
        <f>C15+C35+C41+C51+C60+C82+C96+C100+C127+C91+C112+C115+C70+C122+C120+C124+C32</f>
        <v>4167004.3089999994</v>
      </c>
      <c r="D151" s="87">
        <f>D15+D35+D41+D51+D60+D82+D96+D100+D127+D91+D112+D115+D70</f>
        <v>596777.8</v>
      </c>
      <c r="E151" s="87">
        <f>E15+E35+E41+E51+E60+E82+E96+E100+E127+E91+E112+E115+E70</f>
        <v>152916.40000000002</v>
      </c>
      <c r="F151" s="87">
        <f>F15+F35+F41+F51+F60+F82+F96+F100+F127+F91+F112+F115+F70+F120+F122+F124+F32</f>
        <v>3411793.2089999993</v>
      </c>
      <c r="G151" s="87">
        <f>G15+G35+G41+G51+G60+G82+G96+G100+G127+G91+G112+G115+G70</f>
        <v>5516.9</v>
      </c>
      <c r="H151" s="87">
        <f>H15+H35+H41+H51+H60+H82+H96+H100+H127+H91+H112+H115+H70</f>
        <v>1312848.9000000001</v>
      </c>
      <c r="I151" s="87">
        <f>I15+I35+I41+I51+I60+I82+I96+I100+I127+I91+I112+I115+I70</f>
        <v>382323.6</v>
      </c>
      <c r="J151" s="87" t="e">
        <f>J15+J35+J41+J51+J60+J82+J96+J100+J127+J91+#REF!+J112+#REF!+J115+#REF!+J70</f>
        <v>#REF!</v>
      </c>
      <c r="K151" s="87">
        <f>K15+K35+K41+K51+K60+K82+K96+K100+K127+K91+K112+K115+K70+K120+K122+K124+K32</f>
        <v>5479853.209000001</v>
      </c>
      <c r="L151" s="82"/>
      <c r="M151" s="82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</row>
    <row r="152" spans="1:59" s="7" customFormat="1" ht="12.75">
      <c r="A152" s="88"/>
      <c r="B152" s="89"/>
      <c r="C152" s="138">
        <f>'№2'!C104</f>
        <v>4167004.3089999994</v>
      </c>
      <c r="D152" s="138">
        <f>'№2'!D104</f>
        <v>596777.8</v>
      </c>
      <c r="E152" s="138">
        <f>'№2'!E104</f>
        <v>152916.39999999997</v>
      </c>
      <c r="F152" s="138">
        <f>'№2'!F104</f>
        <v>3411793.2089999993</v>
      </c>
      <c r="G152" s="138">
        <f>'№2'!G104</f>
        <v>5516.9</v>
      </c>
      <c r="H152" s="138">
        <f>'№2'!H104</f>
        <v>1312848.9000000001</v>
      </c>
      <c r="I152" s="138">
        <f>'№2'!I104</f>
        <v>382323.6</v>
      </c>
      <c r="J152" s="138" t="e">
        <f>'№2'!J104</f>
        <v>#REF!</v>
      </c>
      <c r="K152" s="138">
        <f>'№2'!K104</f>
        <v>5479853.209</v>
      </c>
      <c r="L152" s="186" t="s">
        <v>294</v>
      </c>
      <c r="M152" s="12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3:13" ht="12.75">
      <c r="C153" s="177">
        <f>C152-C151</f>
        <v>0</v>
      </c>
      <c r="D153" s="177">
        <f aca="true" t="shared" si="18" ref="D153:J153">D152-D151</f>
        <v>0</v>
      </c>
      <c r="E153" s="177">
        <f t="shared" si="18"/>
        <v>0</v>
      </c>
      <c r="F153" s="177">
        <f t="shared" si="18"/>
        <v>0</v>
      </c>
      <c r="G153" s="177">
        <f t="shared" si="18"/>
        <v>0</v>
      </c>
      <c r="H153" s="177">
        <f t="shared" si="18"/>
        <v>0</v>
      </c>
      <c r="I153" s="177">
        <f t="shared" si="18"/>
        <v>0</v>
      </c>
      <c r="J153" s="177" t="e">
        <f t="shared" si="18"/>
        <v>#REF!</v>
      </c>
      <c r="K153" s="177">
        <f>K152-K151</f>
        <v>0</v>
      </c>
      <c r="L153" s="187"/>
      <c r="M153" s="129"/>
    </row>
    <row r="154" spans="3:12" ht="12.75">
      <c r="C154" s="28"/>
      <c r="D154" s="28"/>
      <c r="E154" s="28"/>
      <c r="F154" s="28"/>
      <c r="G154" s="28"/>
      <c r="H154" s="28"/>
      <c r="I154" s="28"/>
      <c r="J154" s="28"/>
      <c r="K154" s="28"/>
      <c r="L154" s="3"/>
    </row>
    <row r="155" spans="2:11" ht="12.75">
      <c r="B155" s="122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3:11" ht="15">
      <c r="C156" s="242"/>
      <c r="D156" s="241"/>
      <c r="E156" s="241"/>
      <c r="F156" s="241"/>
      <c r="G156" s="241"/>
      <c r="H156" s="241"/>
      <c r="I156" s="241"/>
      <c r="J156" s="241"/>
      <c r="K156" s="241"/>
    </row>
    <row r="157" spans="3:11" ht="12.75"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3:11" ht="12.75"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2:12" ht="12.75">
      <c r="B159" s="122"/>
      <c r="C159" s="79"/>
      <c r="D159" s="79"/>
      <c r="E159" s="79"/>
      <c r="F159" s="79"/>
      <c r="G159" s="79"/>
      <c r="H159" s="79"/>
      <c r="I159" s="79"/>
      <c r="J159" s="79"/>
      <c r="K159" s="79"/>
      <c r="L159" s="83"/>
    </row>
    <row r="160" spans="3:12" ht="12.75">
      <c r="C160" s="83"/>
      <c r="D160" s="28"/>
      <c r="E160" s="28"/>
      <c r="F160" s="28"/>
      <c r="G160" s="28"/>
      <c r="H160" s="28"/>
      <c r="I160" s="28"/>
      <c r="J160" s="28"/>
      <c r="K160" s="28"/>
      <c r="L160" s="83"/>
    </row>
    <row r="161" spans="3:11" ht="12.75">
      <c r="C161" s="37"/>
      <c r="D161" s="37"/>
      <c r="E161" s="37"/>
      <c r="F161" s="37"/>
      <c r="G161" s="37"/>
      <c r="H161" s="37"/>
      <c r="I161" s="37"/>
      <c r="J161" s="37"/>
      <c r="K161" s="37"/>
    </row>
    <row r="162" ht="12.75">
      <c r="C162" s="31"/>
    </row>
    <row r="163" spans="2:11" ht="12.75">
      <c r="B163" s="122"/>
      <c r="C163" s="37"/>
      <c r="F163" s="29"/>
      <c r="G163" s="29"/>
      <c r="K163" s="28"/>
    </row>
    <row r="164" ht="12.75">
      <c r="C164" s="37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  <row r="265" ht="12.75">
      <c r="C265" s="31"/>
    </row>
    <row r="266" ht="12.75">
      <c r="C266" s="31"/>
    </row>
    <row r="267" ht="12.75">
      <c r="C267" s="31"/>
    </row>
    <row r="268" ht="12.75">
      <c r="C268" s="31"/>
    </row>
    <row r="269" ht="12.75">
      <c r="C269" s="31"/>
    </row>
    <row r="270" ht="12.75">
      <c r="C270" s="31"/>
    </row>
    <row r="271" ht="12.75">
      <c r="C271" s="31"/>
    </row>
    <row r="272" ht="12.75">
      <c r="C272" s="31"/>
    </row>
    <row r="273" ht="12.75">
      <c r="C273" s="31"/>
    </row>
    <row r="274" ht="12.75">
      <c r="C274" s="31"/>
    </row>
    <row r="275" ht="12.75">
      <c r="C275" s="31"/>
    </row>
    <row r="276" ht="12.75">
      <c r="C276" s="31"/>
    </row>
    <row r="277" ht="12.75">
      <c r="C277" s="31"/>
    </row>
    <row r="278" ht="12.75">
      <c r="C278" s="31"/>
    </row>
  </sheetData>
  <autoFilter ref="A14:BG153"/>
  <mergeCells count="16">
    <mergeCell ref="J12:J13"/>
    <mergeCell ref="K11:K13"/>
    <mergeCell ref="C12:C13"/>
    <mergeCell ref="H12:H13"/>
    <mergeCell ref="C11:G11"/>
    <mergeCell ref="D12:G12"/>
    <mergeCell ref="A46:A47"/>
    <mergeCell ref="A143:A145"/>
    <mergeCell ref="A151:B151"/>
    <mergeCell ref="F1:K1"/>
    <mergeCell ref="H11:J11"/>
    <mergeCell ref="A9:K9"/>
    <mergeCell ref="H10:K10"/>
    <mergeCell ref="A8:K8"/>
    <mergeCell ref="A11:A13"/>
    <mergeCell ref="B11:B13"/>
  </mergeCells>
  <printOptions/>
  <pageMargins left="1.1811023622047245" right="0.3937007874015748" top="0.77" bottom="0.7874015748031497" header="0" footer="0"/>
  <pageSetup fitToHeight="4" fitToWidth="1" horizontalDpi="600" verticalDpi="600" orientation="portrait" paperSize="9" scale="54" r:id="rId1"/>
  <rowBreaks count="1" manualBreakCount="1">
    <brk id="9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5"/>
  <sheetViews>
    <sheetView zoomScale="75" zoomScaleNormal="75" workbookViewId="0" topLeftCell="A4">
      <pane xSplit="1" ySplit="6" topLeftCell="H4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L21" sqref="L21"/>
    </sheetView>
  </sheetViews>
  <sheetFormatPr defaultColWidth="9.00390625" defaultRowHeight="12.75"/>
  <cols>
    <col min="1" max="1" width="28.00390625" style="3" customWidth="1"/>
    <col min="2" max="3" width="19.00390625" style="3" customWidth="1"/>
    <col min="4" max="4" width="19.75390625" style="3" customWidth="1"/>
    <col min="5" max="5" width="32.125" style="3" customWidth="1"/>
    <col min="6" max="6" width="18.375" style="3" customWidth="1"/>
    <col min="7" max="7" width="16.25390625" style="3" customWidth="1"/>
    <col min="8" max="8" width="11.75390625" style="3" customWidth="1"/>
    <col min="9" max="9" width="12.75390625" style="3" customWidth="1"/>
    <col min="10" max="10" width="12.125" style="3" customWidth="1"/>
    <col min="11" max="11" width="28.125" style="3" customWidth="1"/>
    <col min="12" max="12" width="27.25390625" style="3" customWidth="1"/>
    <col min="13" max="13" width="26.125" style="3" customWidth="1"/>
    <col min="14" max="16" width="15.75390625" style="3" customWidth="1"/>
    <col min="17" max="17" width="22.00390625" style="3" customWidth="1"/>
    <col min="18" max="18" width="36.25390625" style="3" customWidth="1"/>
    <col min="19" max="19" width="38.75390625" style="3" customWidth="1"/>
    <col min="20" max="20" width="19.25390625" style="3" customWidth="1"/>
    <col min="21" max="21" width="14.75390625" style="194" customWidth="1"/>
    <col min="22" max="22" width="14.125" style="3" customWidth="1"/>
    <col min="23" max="23" width="7.875" style="3" customWidth="1"/>
    <col min="24" max="24" width="15.375" style="3" customWidth="1"/>
    <col min="25" max="16384" width="7.875" style="3" customWidth="1"/>
  </cols>
  <sheetData>
    <row r="1" ht="15.75">
      <c r="M1" s="244" t="s">
        <v>114</v>
      </c>
    </row>
    <row r="2" ht="15.75">
      <c r="M2" s="206" t="s">
        <v>199</v>
      </c>
    </row>
    <row r="3" ht="9" customHeight="1">
      <c r="M3" s="188"/>
    </row>
    <row r="4" spans="2:20" ht="42.75" customHeight="1">
      <c r="B4" s="439" t="s">
        <v>336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195"/>
      <c r="N4" s="196"/>
      <c r="O4" s="196"/>
      <c r="P4" s="196"/>
      <c r="Q4" s="196"/>
      <c r="R4" s="196"/>
      <c r="S4" s="196"/>
      <c r="T4" s="196"/>
    </row>
    <row r="5" spans="1:21" ht="12.75" customHeight="1" thickBot="1">
      <c r="A5" s="197"/>
      <c r="B5" s="197"/>
      <c r="C5" s="197"/>
      <c r="D5" s="197"/>
      <c r="E5" s="197"/>
      <c r="F5" s="197"/>
      <c r="G5" s="197"/>
      <c r="H5" s="197"/>
      <c r="I5" s="197"/>
      <c r="J5" s="197"/>
      <c r="L5" s="198"/>
      <c r="N5" s="197" t="s">
        <v>36</v>
      </c>
      <c r="O5" s="197"/>
      <c r="P5" s="197"/>
      <c r="Q5" s="197"/>
      <c r="R5" s="197"/>
      <c r="S5" s="197"/>
      <c r="T5" s="197"/>
      <c r="U5" s="198" t="s">
        <v>36</v>
      </c>
    </row>
    <row r="6" spans="1:21" s="247" customFormat="1" ht="21" customHeight="1" thickBot="1">
      <c r="A6" s="445" t="s">
        <v>115</v>
      </c>
      <c r="B6" s="446" t="s">
        <v>116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8"/>
      <c r="Q6" s="435" t="s">
        <v>117</v>
      </c>
      <c r="R6" s="436"/>
      <c r="S6" s="437"/>
      <c r="T6" s="438" t="s">
        <v>68</v>
      </c>
      <c r="U6" s="428" t="s">
        <v>118</v>
      </c>
    </row>
    <row r="7" spans="1:21" s="247" customFormat="1" ht="19.5" customHeight="1" thickBot="1">
      <c r="A7" s="433"/>
      <c r="B7" s="431" t="s">
        <v>119</v>
      </c>
      <c r="C7" s="431" t="s">
        <v>64</v>
      </c>
      <c r="D7" s="438" t="s">
        <v>120</v>
      </c>
      <c r="E7" s="431" t="s">
        <v>121</v>
      </c>
      <c r="F7" s="440" t="s">
        <v>208</v>
      </c>
      <c r="G7" s="441"/>
      <c r="H7" s="441"/>
      <c r="I7" s="441"/>
      <c r="J7" s="441"/>
      <c r="K7" s="442"/>
      <c r="L7" s="431" t="s">
        <v>65</v>
      </c>
      <c r="M7" s="431" t="s">
        <v>122</v>
      </c>
      <c r="N7" s="431" t="s">
        <v>67</v>
      </c>
      <c r="O7" s="438" t="s">
        <v>341</v>
      </c>
      <c r="P7" s="438" t="s">
        <v>410</v>
      </c>
      <c r="Q7" s="431" t="s">
        <v>64</v>
      </c>
      <c r="R7" s="431" t="s">
        <v>66</v>
      </c>
      <c r="S7" s="433" t="s">
        <v>407</v>
      </c>
      <c r="T7" s="431"/>
      <c r="U7" s="429"/>
    </row>
    <row r="8" spans="1:21" s="247" customFormat="1" ht="81.75" customHeight="1" thickBot="1">
      <c r="A8" s="433"/>
      <c r="B8" s="431"/>
      <c r="C8" s="431"/>
      <c r="D8" s="431"/>
      <c r="E8" s="431"/>
      <c r="F8" s="438" t="s">
        <v>123</v>
      </c>
      <c r="G8" s="438" t="s">
        <v>124</v>
      </c>
      <c r="H8" s="438" t="s">
        <v>125</v>
      </c>
      <c r="I8" s="443" t="s">
        <v>126</v>
      </c>
      <c r="J8" s="444"/>
      <c r="K8" s="438" t="s">
        <v>127</v>
      </c>
      <c r="L8" s="431"/>
      <c r="M8" s="431"/>
      <c r="N8" s="431"/>
      <c r="O8" s="431"/>
      <c r="P8" s="431"/>
      <c r="Q8" s="431"/>
      <c r="R8" s="431"/>
      <c r="S8" s="433"/>
      <c r="T8" s="431"/>
      <c r="U8" s="429"/>
    </row>
    <row r="9" spans="1:21" s="247" customFormat="1" ht="151.5" customHeight="1" thickBot="1">
      <c r="A9" s="434"/>
      <c r="B9" s="432"/>
      <c r="C9" s="432"/>
      <c r="D9" s="432"/>
      <c r="E9" s="432"/>
      <c r="F9" s="432"/>
      <c r="G9" s="432"/>
      <c r="H9" s="432"/>
      <c r="I9" s="246" t="s">
        <v>128</v>
      </c>
      <c r="J9" s="246" t="s">
        <v>129</v>
      </c>
      <c r="K9" s="432"/>
      <c r="L9" s="432"/>
      <c r="M9" s="432"/>
      <c r="N9" s="432"/>
      <c r="O9" s="432"/>
      <c r="P9" s="432"/>
      <c r="Q9" s="432"/>
      <c r="R9" s="432"/>
      <c r="S9" s="434"/>
      <c r="T9" s="432"/>
      <c r="U9" s="430"/>
    </row>
    <row r="10" spans="1:23" s="199" customFormat="1" ht="15" customHeight="1">
      <c r="A10" s="200" t="s">
        <v>130</v>
      </c>
      <c r="B10" s="367">
        <f>10303.6+474.1-92</f>
        <v>10685.7</v>
      </c>
      <c r="C10" s="201">
        <f>1786.5-286.4-71.7</f>
        <v>1428.3999999999999</v>
      </c>
      <c r="D10" s="285">
        <f>308-81-10</f>
        <v>217</v>
      </c>
      <c r="E10" s="235">
        <f>1556.2+3832</f>
        <v>5388.2</v>
      </c>
      <c r="F10" s="285">
        <f>1365.1+3832</f>
        <v>5197.1</v>
      </c>
      <c r="G10" s="368"/>
      <c r="H10" s="285">
        <v>168.8</v>
      </c>
      <c r="I10" s="368"/>
      <c r="J10" s="368"/>
      <c r="K10" s="235">
        <v>22.3</v>
      </c>
      <c r="L10" s="285">
        <f>82.8+9</f>
        <v>91.8</v>
      </c>
      <c r="M10" s="285">
        <v>126.6</v>
      </c>
      <c r="N10" s="368"/>
      <c r="O10" s="368"/>
      <c r="P10" s="368"/>
      <c r="Q10" s="235">
        <v>293.8</v>
      </c>
      <c r="R10" s="285">
        <v>90.3</v>
      </c>
      <c r="S10" s="358"/>
      <c r="T10" s="201">
        <v>36.5</v>
      </c>
      <c r="U10" s="202">
        <f>B10+C10+D10+E10+L10+M10+N10+Q10+R10+S10+T10+O10</f>
        <v>18358.299999999996</v>
      </c>
      <c r="W10" s="232"/>
    </row>
    <row r="11" spans="1:40" s="206" customFormat="1" ht="15.75" customHeight="1">
      <c r="A11" s="203" t="s">
        <v>131</v>
      </c>
      <c r="B11" s="367">
        <f>37658.9-180</f>
        <v>37478.9</v>
      </c>
      <c r="C11" s="204">
        <f>10771.2-4692.8+6.6</f>
        <v>6085.000000000001</v>
      </c>
      <c r="D11" s="201">
        <f>506.1-204-10</f>
        <v>292.1</v>
      </c>
      <c r="E11" s="201">
        <f>5095+12205.1-10.3</f>
        <v>17289.8</v>
      </c>
      <c r="F11" s="201">
        <f>4325.6+12205.1</f>
        <v>16530.7</v>
      </c>
      <c r="G11" s="201"/>
      <c r="H11" s="201">
        <f>679.5-11.4</f>
        <v>668.1</v>
      </c>
      <c r="I11" s="201"/>
      <c r="J11" s="201"/>
      <c r="K11" s="201">
        <f>89.9+1.1</f>
        <v>91</v>
      </c>
      <c r="L11" s="201">
        <f>144+40+3+3</f>
        <v>190</v>
      </c>
      <c r="M11" s="201">
        <v>238.5</v>
      </c>
      <c r="N11" s="201"/>
      <c r="O11" s="201"/>
      <c r="P11" s="201"/>
      <c r="Q11" s="201">
        <v>16637.7</v>
      </c>
      <c r="R11" s="201">
        <v>107.5</v>
      </c>
      <c r="S11" s="359"/>
      <c r="T11" s="201">
        <f>212+4413.3</f>
        <v>4625.3</v>
      </c>
      <c r="U11" s="202">
        <f aca="true" t="shared" si="0" ref="U11:U53">B11+C11+D11+E11+L11+M11+N11+Q11+R11+S11+T11+O11</f>
        <v>82944.8</v>
      </c>
      <c r="V11" s="205"/>
      <c r="W11" s="232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</row>
    <row r="12" spans="1:40" s="206" customFormat="1" ht="15.75" customHeight="1">
      <c r="A12" s="203" t="s">
        <v>132</v>
      </c>
      <c r="B12" s="367">
        <f>92528.4+1377.4+259.9+15</f>
        <v>94180.69999999998</v>
      </c>
      <c r="C12" s="201">
        <f>23440-6833.5-9.8</f>
        <v>16596.7</v>
      </c>
      <c r="D12" s="201">
        <f>1055.3-228+22</f>
        <v>849.3</v>
      </c>
      <c r="E12" s="371">
        <f>5755.8+6070.8-15.5-2786.536</f>
        <v>9024.564</v>
      </c>
      <c r="F12" s="371">
        <f>4703.6+6070.8-2786.536</f>
        <v>7987.864000000001</v>
      </c>
      <c r="G12" s="201"/>
      <c r="H12" s="201">
        <f>821.5-14.8</f>
        <v>806.7</v>
      </c>
      <c r="I12" s="201"/>
      <c r="J12" s="201"/>
      <c r="K12" s="201">
        <f>230.7-0.7</f>
        <v>230</v>
      </c>
      <c r="L12" s="201">
        <f>348+19</f>
        <v>367</v>
      </c>
      <c r="M12" s="201">
        <f>1022.9+64</f>
        <v>1086.9</v>
      </c>
      <c r="N12" s="201"/>
      <c r="O12" s="201">
        <v>42.2</v>
      </c>
      <c r="P12" s="201"/>
      <c r="Q12" s="201">
        <v>42974.5</v>
      </c>
      <c r="R12" s="201">
        <v>537.5</v>
      </c>
      <c r="S12" s="359">
        <v>1878.335</v>
      </c>
      <c r="T12" s="201">
        <f>98+7989.7</f>
        <v>8087.7</v>
      </c>
      <c r="U12" s="372">
        <f t="shared" si="0"/>
        <v>175625.399</v>
      </c>
      <c r="V12" s="205"/>
      <c r="W12" s="232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</row>
    <row r="13" spans="1:40" s="206" customFormat="1" ht="15.75" customHeight="1">
      <c r="A13" s="203" t="s">
        <v>133</v>
      </c>
      <c r="B13" s="367">
        <f>15103.4+4.4</f>
        <v>15107.8</v>
      </c>
      <c r="C13" s="201">
        <f>5159.1-1489.1-200</f>
        <v>3470.0000000000005</v>
      </c>
      <c r="D13" s="201">
        <f>866.1-333</f>
        <v>533.1</v>
      </c>
      <c r="E13" s="201">
        <f>626.6+427.8-1.2</f>
        <v>1053.2</v>
      </c>
      <c r="F13" s="201">
        <v>70</v>
      </c>
      <c r="G13" s="201">
        <f>222.1+343.6</f>
        <v>565.7</v>
      </c>
      <c r="H13" s="201">
        <f>190.2-7.4</f>
        <v>182.79999999999998</v>
      </c>
      <c r="I13" s="201"/>
      <c r="J13" s="201">
        <f>111.9+84.2</f>
        <v>196.10000000000002</v>
      </c>
      <c r="K13" s="201">
        <f>32.4+6.2</f>
        <v>38.6</v>
      </c>
      <c r="L13" s="201">
        <f>50.4+9+2.5+3</f>
        <v>64.9</v>
      </c>
      <c r="M13" s="201">
        <v>310.1</v>
      </c>
      <c r="N13" s="201"/>
      <c r="O13" s="201"/>
      <c r="P13" s="201"/>
      <c r="Q13" s="201">
        <v>2065</v>
      </c>
      <c r="R13" s="201">
        <v>181.2</v>
      </c>
      <c r="S13" s="359">
        <v>10101.304</v>
      </c>
      <c r="T13" s="201">
        <v>1280.6</v>
      </c>
      <c r="U13" s="202">
        <f t="shared" si="0"/>
        <v>34167.204</v>
      </c>
      <c r="V13" s="205"/>
      <c r="W13" s="23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s="206" customFormat="1" ht="15.75" customHeight="1">
      <c r="A14" s="203" t="s">
        <v>134</v>
      </c>
      <c r="B14" s="367">
        <f>24933.5-185</f>
        <v>24748.5</v>
      </c>
      <c r="C14" s="201">
        <f>4566-1465.6-93.6</f>
        <v>3006.8</v>
      </c>
      <c r="D14" s="201">
        <v>247</v>
      </c>
      <c r="E14" s="201">
        <f>1213.9+7.2</f>
        <v>1221.1000000000001</v>
      </c>
      <c r="F14" s="201">
        <v>1018.2</v>
      </c>
      <c r="G14" s="201"/>
      <c r="H14" s="201">
        <f>156.6+10.2</f>
        <v>166.79999999999998</v>
      </c>
      <c r="I14" s="201"/>
      <c r="J14" s="201"/>
      <c r="K14" s="201">
        <f>39.1-3</f>
        <v>36.1</v>
      </c>
      <c r="L14" s="201">
        <v>74.4</v>
      </c>
      <c r="M14" s="201">
        <v>88.7</v>
      </c>
      <c r="N14" s="201"/>
      <c r="O14" s="201"/>
      <c r="P14" s="201"/>
      <c r="Q14" s="201">
        <v>7052.8</v>
      </c>
      <c r="R14" s="201">
        <v>257.8</v>
      </c>
      <c r="S14" s="359">
        <v>149.7235</v>
      </c>
      <c r="T14" s="201">
        <f>298.9+229.4</f>
        <v>528.3</v>
      </c>
      <c r="U14" s="202">
        <f t="shared" si="0"/>
        <v>37375.12350000001</v>
      </c>
      <c r="V14" s="205"/>
      <c r="W14" s="232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</row>
    <row r="15" spans="1:40" s="206" customFormat="1" ht="15.75" customHeight="1">
      <c r="A15" s="203" t="s">
        <v>135</v>
      </c>
      <c r="B15" s="367">
        <f>16140+1093.8+226.4+35</f>
        <v>17495.2</v>
      </c>
      <c r="C15" s="201">
        <f>3133-1145.1+61.8</f>
        <v>2049.7000000000003</v>
      </c>
      <c r="D15" s="201">
        <f>136.2+20</f>
        <v>156.2</v>
      </c>
      <c r="E15" s="201">
        <f>414.9-4.5</f>
        <v>410.4</v>
      </c>
      <c r="F15" s="201">
        <v>168.2</v>
      </c>
      <c r="G15" s="201"/>
      <c r="H15" s="201">
        <f>102.1-5.7</f>
        <v>96.39999999999999</v>
      </c>
      <c r="I15" s="201"/>
      <c r="J15" s="201"/>
      <c r="K15" s="201">
        <f>144.6+1.2</f>
        <v>145.79999999999998</v>
      </c>
      <c r="L15" s="201">
        <v>88.8</v>
      </c>
      <c r="M15" s="201">
        <v>326.7</v>
      </c>
      <c r="N15" s="201"/>
      <c r="O15" s="201"/>
      <c r="P15" s="201"/>
      <c r="Q15" s="201">
        <v>4839.4</v>
      </c>
      <c r="R15" s="201">
        <v>330.8</v>
      </c>
      <c r="S15" s="359">
        <v>157.7532</v>
      </c>
      <c r="T15" s="201">
        <f>251.7+75.1</f>
        <v>326.79999999999995</v>
      </c>
      <c r="U15" s="202">
        <f t="shared" si="0"/>
        <v>26181.7532</v>
      </c>
      <c r="V15" s="205"/>
      <c r="W15" s="232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0" s="206" customFormat="1" ht="15.75" customHeight="1">
      <c r="A16" s="203" t="s">
        <v>136</v>
      </c>
      <c r="B16" s="367">
        <f>19091.6+1756.3+292.4-87</f>
        <v>21053.3</v>
      </c>
      <c r="C16" s="201">
        <f>5056.4-1488.3-176.5</f>
        <v>3391.5999999999995</v>
      </c>
      <c r="D16" s="201">
        <f>137.4+51</f>
        <v>188.4</v>
      </c>
      <c r="E16" s="201">
        <f>440.4+34.7</f>
        <v>475.09999999999997</v>
      </c>
      <c r="F16" s="201">
        <v>250.8</v>
      </c>
      <c r="G16" s="201"/>
      <c r="H16" s="201">
        <f>155.7+33.2</f>
        <v>188.89999999999998</v>
      </c>
      <c r="I16" s="201"/>
      <c r="J16" s="201"/>
      <c r="K16" s="201">
        <f>33.9+1.5</f>
        <v>35.4</v>
      </c>
      <c r="L16" s="201">
        <f>44.4+53+4+75-55</f>
        <v>121.4</v>
      </c>
      <c r="M16" s="201">
        <v>546.3</v>
      </c>
      <c r="N16" s="201"/>
      <c r="O16" s="201"/>
      <c r="P16" s="201"/>
      <c r="Q16" s="201">
        <v>0</v>
      </c>
      <c r="R16" s="201">
        <v>291</v>
      </c>
      <c r="S16" s="359"/>
      <c r="T16" s="201">
        <v>101.8</v>
      </c>
      <c r="U16" s="202">
        <f t="shared" si="0"/>
        <v>26168.899999999998</v>
      </c>
      <c r="V16" s="205"/>
      <c r="W16" s="232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</row>
    <row r="17" spans="1:40" s="206" customFormat="1" ht="15.75" customHeight="1">
      <c r="A17" s="203" t="s">
        <v>137</v>
      </c>
      <c r="B17" s="367">
        <f>7350.4+420.9+25.7+23</f>
        <v>7819.999999999999</v>
      </c>
      <c r="C17" s="201">
        <f>2873.5-1220.9-70.2</f>
        <v>1582.3999999999999</v>
      </c>
      <c r="D17" s="201">
        <f>7-1</f>
        <v>6</v>
      </c>
      <c r="E17" s="201">
        <f>267.3+3</f>
        <v>270.3</v>
      </c>
      <c r="F17" s="201">
        <v>139.8</v>
      </c>
      <c r="G17" s="201"/>
      <c r="H17" s="201">
        <f>115.2+3</f>
        <v>118.2</v>
      </c>
      <c r="I17" s="201"/>
      <c r="J17" s="201"/>
      <c r="K17" s="201">
        <v>12.3</v>
      </c>
      <c r="L17" s="201">
        <f>144-45</f>
        <v>99</v>
      </c>
      <c r="M17" s="201">
        <v>58.7</v>
      </c>
      <c r="N17" s="201"/>
      <c r="O17" s="201"/>
      <c r="P17" s="201"/>
      <c r="Q17" s="201">
        <v>4438.6</v>
      </c>
      <c r="R17" s="201">
        <v>144.2</v>
      </c>
      <c r="S17" s="359"/>
      <c r="T17" s="201">
        <v>19.8</v>
      </c>
      <c r="U17" s="202">
        <f t="shared" si="0"/>
        <v>14439</v>
      </c>
      <c r="V17" s="205"/>
      <c r="W17" s="232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</row>
    <row r="18" spans="1:40" s="206" customFormat="1" ht="15.75" customHeight="1">
      <c r="A18" s="207" t="s">
        <v>138</v>
      </c>
      <c r="B18" s="369">
        <f>241067.9+15131.5+3614.323+2027</f>
        <v>261840.723</v>
      </c>
      <c r="C18" s="201">
        <f>58410.8-12310.4+765.2</f>
        <v>46865.6</v>
      </c>
      <c r="D18" s="201">
        <f>3520.6-461+7</f>
        <v>3066.6</v>
      </c>
      <c r="E18" s="201">
        <f>62186.4+1077.6</f>
        <v>63264</v>
      </c>
      <c r="F18" s="201">
        <f>57551.3+1077.6-1077.6</f>
        <v>57551.3</v>
      </c>
      <c r="G18" s="201"/>
      <c r="H18" s="201">
        <f>3608.9-35</f>
        <v>3573.9</v>
      </c>
      <c r="I18" s="201">
        <f>266.2+1077.6</f>
        <v>1343.8</v>
      </c>
      <c r="J18" s="201"/>
      <c r="K18" s="201">
        <f>760+35</f>
        <v>795</v>
      </c>
      <c r="L18" s="201">
        <f>986.4+24+10+19.8+34</f>
        <v>1074.2</v>
      </c>
      <c r="M18" s="201">
        <f>1770.7-99.9</f>
        <v>1670.8</v>
      </c>
      <c r="N18" s="201"/>
      <c r="O18" s="201"/>
      <c r="P18" s="201"/>
      <c r="Q18" s="201">
        <f>84826.8-2340</f>
        <v>82486.8</v>
      </c>
      <c r="R18" s="201">
        <v>988.9</v>
      </c>
      <c r="S18" s="359">
        <v>85816.95067</v>
      </c>
      <c r="T18" s="201">
        <f>63.7+22071</f>
        <v>22134.7</v>
      </c>
      <c r="U18" s="202">
        <f t="shared" si="0"/>
        <v>569209.2736699999</v>
      </c>
      <c r="V18" s="205"/>
      <c r="W18" s="232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</row>
    <row r="19" spans="1:40" s="206" customFormat="1" ht="15.75" customHeight="1">
      <c r="A19" s="203" t="s">
        <v>139</v>
      </c>
      <c r="B19" s="367">
        <f>22862.7+1654.8+240</f>
        <v>24757.5</v>
      </c>
      <c r="C19" s="201">
        <f>4193.5-1243.3+92.3</f>
        <v>3042.5</v>
      </c>
      <c r="D19" s="201">
        <f>234.5-73</f>
        <v>161.5</v>
      </c>
      <c r="E19" s="201">
        <f>3017+1805.8</f>
        <v>4822.8</v>
      </c>
      <c r="F19" s="201">
        <f>2647.3+1805.8</f>
        <v>4453.1</v>
      </c>
      <c r="G19" s="201"/>
      <c r="H19" s="201">
        <f>268.1-0.2</f>
        <v>267.90000000000003</v>
      </c>
      <c r="I19" s="201"/>
      <c r="J19" s="201"/>
      <c r="K19" s="201">
        <f>101.6+0.2</f>
        <v>101.8</v>
      </c>
      <c r="L19" s="201">
        <f>320.4+14+15</f>
        <v>349.4</v>
      </c>
      <c r="M19" s="201">
        <v>374.7</v>
      </c>
      <c r="N19" s="201"/>
      <c r="O19" s="201"/>
      <c r="P19" s="201"/>
      <c r="Q19" s="201">
        <f>11111.4+1530</f>
        <v>12641.4</v>
      </c>
      <c r="R19" s="201">
        <v>205</v>
      </c>
      <c r="S19" s="359"/>
      <c r="T19" s="201">
        <f>474+192.6</f>
        <v>666.6</v>
      </c>
      <c r="U19" s="202">
        <f t="shared" si="0"/>
        <v>47021.4</v>
      </c>
      <c r="V19" s="205"/>
      <c r="W19" s="232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</row>
    <row r="20" spans="1:40" s="206" customFormat="1" ht="15.75" customHeight="1">
      <c r="A20" s="203" t="s">
        <v>140</v>
      </c>
      <c r="B20" s="367">
        <f>44597.7+292.2+105+154</f>
        <v>45148.899999999994</v>
      </c>
      <c r="C20" s="201">
        <f>14307.5-7075.5-53.4</f>
        <v>7178.6</v>
      </c>
      <c r="D20" s="201">
        <f>922.4-321</f>
        <v>601.4</v>
      </c>
      <c r="E20" s="201">
        <f>6038.9+126.7+28.3</f>
        <v>6193.9</v>
      </c>
      <c r="F20" s="201">
        <f>5496.3+126.7</f>
        <v>5623</v>
      </c>
      <c r="G20" s="201"/>
      <c r="H20" s="201">
        <f>475.8+25.2</f>
        <v>501</v>
      </c>
      <c r="I20" s="201"/>
      <c r="J20" s="201"/>
      <c r="K20" s="201">
        <f>66.8+3.1</f>
        <v>69.89999999999999</v>
      </c>
      <c r="L20" s="201">
        <f>331.2+6.5+3+6.5+3</f>
        <v>350.2</v>
      </c>
      <c r="M20" s="201">
        <f>987.1</f>
        <v>987.1</v>
      </c>
      <c r="N20" s="201"/>
      <c r="O20" s="201"/>
      <c r="P20" s="201"/>
      <c r="Q20" s="201">
        <v>22100</v>
      </c>
      <c r="R20" s="201">
        <v>177.4</v>
      </c>
      <c r="S20" s="359"/>
      <c r="T20" s="201">
        <f>951.9+224</f>
        <v>1175.9</v>
      </c>
      <c r="U20" s="202">
        <f t="shared" si="0"/>
        <v>83913.39999999998</v>
      </c>
      <c r="V20" s="205"/>
      <c r="W20" s="232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</row>
    <row r="21" spans="1:40" s="206" customFormat="1" ht="15.75" customHeight="1">
      <c r="A21" s="203" t="s">
        <v>141</v>
      </c>
      <c r="B21" s="367">
        <f>3974.5+157.4+38.7+45</f>
        <v>4215.599999999999</v>
      </c>
      <c r="C21" s="201">
        <f>757.5-291+25.4</f>
        <v>491.9</v>
      </c>
      <c r="D21" s="201">
        <f>12.6+20</f>
        <v>32.6</v>
      </c>
      <c r="E21" s="201">
        <f>96.2-1.8</f>
        <v>94.4</v>
      </c>
      <c r="F21" s="201">
        <v>44.7</v>
      </c>
      <c r="G21" s="201"/>
      <c r="H21" s="201">
        <f>24.9-1.6</f>
        <v>23.299999999999997</v>
      </c>
      <c r="I21" s="201"/>
      <c r="J21" s="201"/>
      <c r="K21" s="201">
        <f>26.6-0.2</f>
        <v>26.400000000000002</v>
      </c>
      <c r="L21" s="201">
        <f>108-5</f>
        <v>103</v>
      </c>
      <c r="M21" s="201">
        <v>102</v>
      </c>
      <c r="N21" s="201"/>
      <c r="O21" s="201"/>
      <c r="P21" s="201"/>
      <c r="Q21" s="201">
        <v>1170</v>
      </c>
      <c r="R21" s="201">
        <v>179.4</v>
      </c>
      <c r="S21" s="359"/>
      <c r="T21" s="201">
        <v>18.6</v>
      </c>
      <c r="U21" s="202">
        <f t="shared" si="0"/>
        <v>6407.499999999999</v>
      </c>
      <c r="V21" s="205"/>
      <c r="W21" s="232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</row>
    <row r="22" spans="1:40" s="206" customFormat="1" ht="15.75" customHeight="1">
      <c r="A22" s="203" t="s">
        <v>142</v>
      </c>
      <c r="B22" s="367">
        <f>8396.2+63.5+39.2+12</f>
        <v>8510.900000000001</v>
      </c>
      <c r="C22" s="201">
        <f>1161.2-278.8-51.4</f>
        <v>831.0000000000001</v>
      </c>
      <c r="D22" s="201">
        <v>44.7</v>
      </c>
      <c r="E22" s="201">
        <f>101.2+1</f>
        <v>102.2</v>
      </c>
      <c r="F22" s="201">
        <v>0</v>
      </c>
      <c r="G22" s="201"/>
      <c r="H22" s="201">
        <f>61.8+1.1</f>
        <v>62.9</v>
      </c>
      <c r="I22" s="201"/>
      <c r="J22" s="201"/>
      <c r="K22" s="201">
        <f>39.4-0.1</f>
        <v>39.3</v>
      </c>
      <c r="L22" s="201">
        <v>120</v>
      </c>
      <c r="M22" s="201">
        <f>147.2+4</f>
        <v>151.2</v>
      </c>
      <c r="N22" s="201">
        <v>200</v>
      </c>
      <c r="O22" s="201"/>
      <c r="P22" s="201"/>
      <c r="Q22" s="201">
        <v>1358.1</v>
      </c>
      <c r="R22" s="201">
        <v>187.1</v>
      </c>
      <c r="S22" s="359"/>
      <c r="T22" s="201">
        <v>1256</v>
      </c>
      <c r="U22" s="202">
        <f t="shared" si="0"/>
        <v>12761.200000000004</v>
      </c>
      <c r="V22" s="205"/>
      <c r="W22" s="232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</row>
    <row r="23" spans="1:40" s="206" customFormat="1" ht="15.75" customHeight="1">
      <c r="A23" s="203" t="s">
        <v>143</v>
      </c>
      <c r="B23" s="367">
        <f>25864.3+793.7</f>
        <v>26658</v>
      </c>
      <c r="C23" s="201">
        <f>6321.3-2614.3+286.4</f>
        <v>3993.4</v>
      </c>
      <c r="D23" s="201">
        <f>80.9-25</f>
        <v>55.900000000000006</v>
      </c>
      <c r="E23" s="201">
        <f>1488.1+5.4</f>
        <v>1493.5</v>
      </c>
      <c r="F23" s="201">
        <v>1072.3</v>
      </c>
      <c r="G23" s="201"/>
      <c r="H23" s="201">
        <f>311.9+9.7</f>
        <v>321.59999999999997</v>
      </c>
      <c r="I23" s="201"/>
      <c r="J23" s="201"/>
      <c r="K23" s="201">
        <f>103.9-4.3</f>
        <v>99.60000000000001</v>
      </c>
      <c r="L23" s="201">
        <f>162+10+3</f>
        <v>175</v>
      </c>
      <c r="M23" s="201">
        <v>88.5</v>
      </c>
      <c r="N23" s="201"/>
      <c r="O23" s="201"/>
      <c r="P23" s="201"/>
      <c r="Q23" s="201">
        <v>15942.7</v>
      </c>
      <c r="R23" s="201">
        <v>173.3</v>
      </c>
      <c r="S23" s="359"/>
      <c r="T23" s="201">
        <f>6219.8+2100+7947.6</f>
        <v>16267.4</v>
      </c>
      <c r="U23" s="202">
        <f t="shared" si="0"/>
        <v>64847.700000000004</v>
      </c>
      <c r="V23" s="205"/>
      <c r="W23" s="232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</row>
    <row r="24" spans="1:40" s="206" customFormat="1" ht="15.75" customHeight="1">
      <c r="A24" s="203" t="s">
        <v>144</v>
      </c>
      <c r="B24" s="367">
        <f>66926.3+1081.3+147.8+131</f>
        <v>68286.40000000001</v>
      </c>
      <c r="C24" s="40">
        <f>17653-7449+95.4</f>
        <v>10299.4</v>
      </c>
      <c r="D24" s="201">
        <f>464.2-147</f>
        <v>317.2</v>
      </c>
      <c r="E24" s="201">
        <f>16688.7+8208.2</f>
        <v>24896.9</v>
      </c>
      <c r="F24" s="201">
        <f>15596.2+8208.2</f>
        <v>23804.4</v>
      </c>
      <c r="G24" s="201"/>
      <c r="H24" s="201">
        <v>915.3</v>
      </c>
      <c r="I24" s="201"/>
      <c r="J24" s="201"/>
      <c r="K24" s="201">
        <v>177.2</v>
      </c>
      <c r="L24" s="201">
        <f>162+6</f>
        <v>168</v>
      </c>
      <c r="M24" s="201">
        <v>1084.3</v>
      </c>
      <c r="N24" s="201"/>
      <c r="O24" s="201">
        <v>53.6</v>
      </c>
      <c r="P24" s="201"/>
      <c r="Q24" s="201">
        <v>28707.5</v>
      </c>
      <c r="R24" s="201">
        <v>195.7</v>
      </c>
      <c r="S24" s="359">
        <v>1169.005</v>
      </c>
      <c r="T24" s="201">
        <f>1398.9+381.8</f>
        <v>1780.7</v>
      </c>
      <c r="U24" s="202">
        <f t="shared" si="0"/>
        <v>136958.70500000005</v>
      </c>
      <c r="V24" s="205"/>
      <c r="W24" s="232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</row>
    <row r="25" spans="1:40" s="206" customFormat="1" ht="15.75" customHeight="1">
      <c r="A25" s="203" t="s">
        <v>145</v>
      </c>
      <c r="B25" s="367">
        <f>22823.1+1487.1+174.9+41</f>
        <v>24526.1</v>
      </c>
      <c r="C25" s="201">
        <f>3012.8-861.7-30.7</f>
        <v>2120.4000000000005</v>
      </c>
      <c r="D25" s="201">
        <f>451.8-117</f>
        <v>334.8</v>
      </c>
      <c r="E25" s="201">
        <v>749.4</v>
      </c>
      <c r="F25" s="201">
        <v>393.1</v>
      </c>
      <c r="G25" s="201"/>
      <c r="H25" s="201">
        <v>298.6</v>
      </c>
      <c r="I25" s="201"/>
      <c r="J25" s="201"/>
      <c r="K25" s="201">
        <v>57.7</v>
      </c>
      <c r="L25" s="201">
        <f>120+3+10+0.5-10</f>
        <v>123.5</v>
      </c>
      <c r="M25" s="201">
        <v>0</v>
      </c>
      <c r="N25" s="201"/>
      <c r="O25" s="201"/>
      <c r="P25" s="201"/>
      <c r="Q25" s="201">
        <v>4653.7</v>
      </c>
      <c r="R25" s="201">
        <v>110.4</v>
      </c>
      <c r="S25" s="359">
        <v>2690.02271</v>
      </c>
      <c r="T25" s="201">
        <v>1520.9</v>
      </c>
      <c r="U25" s="202">
        <f t="shared" si="0"/>
        <v>36829.22271</v>
      </c>
      <c r="V25" s="205"/>
      <c r="W25" s="232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</row>
    <row r="26" spans="1:40" s="206" customFormat="1" ht="15.75" customHeight="1">
      <c r="A26" s="203" t="s">
        <v>146</v>
      </c>
      <c r="B26" s="367">
        <f>17002.6+88.8+233+334.8</f>
        <v>17659.199999999997</v>
      </c>
      <c r="C26" s="201">
        <f>1944.7-792.6+48</f>
        <v>1200.1</v>
      </c>
      <c r="D26" s="201">
        <f>1266.7-449</f>
        <v>817.7</v>
      </c>
      <c r="E26" s="201">
        <f>3175.6+3545.1+5.1</f>
        <v>6725.8</v>
      </c>
      <c r="F26" s="201">
        <v>119.8</v>
      </c>
      <c r="G26" s="201">
        <f>2220.6+3379.8</f>
        <v>5600.4</v>
      </c>
      <c r="H26" s="201">
        <f>162.7+8.1</f>
        <v>170.79999999999998</v>
      </c>
      <c r="I26" s="201"/>
      <c r="J26" s="201">
        <f>618.5+165.3</f>
        <v>783.8</v>
      </c>
      <c r="K26" s="201">
        <f>54-3</f>
        <v>51</v>
      </c>
      <c r="L26" s="201">
        <f>72-15</f>
        <v>57</v>
      </c>
      <c r="M26" s="201">
        <v>37.3</v>
      </c>
      <c r="N26" s="201"/>
      <c r="O26" s="201">
        <v>42</v>
      </c>
      <c r="P26" s="201"/>
      <c r="Q26" s="201">
        <f>3004+500</f>
        <v>3504</v>
      </c>
      <c r="R26" s="201">
        <v>309.6</v>
      </c>
      <c r="S26" s="359"/>
      <c r="T26" s="201">
        <f>3589.8+1113.5</f>
        <v>4703.3</v>
      </c>
      <c r="U26" s="202">
        <f t="shared" si="0"/>
        <v>35055.99999999999</v>
      </c>
      <c r="V26" s="205"/>
      <c r="W26" s="232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</row>
    <row r="27" spans="1:40" s="206" customFormat="1" ht="15.75" customHeight="1">
      <c r="A27" s="203" t="s">
        <v>147</v>
      </c>
      <c r="B27" s="367">
        <f>108521.9+6003.2+1008.5+139</f>
        <v>115672.59999999999</v>
      </c>
      <c r="C27" s="201">
        <f>24875.2-10671.9+126.3</f>
        <v>14329.6</v>
      </c>
      <c r="D27" s="201">
        <f>1955.9-502</f>
        <v>1453.9</v>
      </c>
      <c r="E27" s="371">
        <f>4887.5+4368.2+2786.536</f>
        <v>12042.236</v>
      </c>
      <c r="F27" s="371">
        <f>3980.3+4368.2+2786.536</f>
        <v>11135.036</v>
      </c>
      <c r="G27" s="201"/>
      <c r="H27" s="201">
        <v>672.8</v>
      </c>
      <c r="I27" s="201"/>
      <c r="J27" s="201"/>
      <c r="K27" s="201">
        <v>234.4</v>
      </c>
      <c r="L27" s="201">
        <f>720+5-10</f>
        <v>715</v>
      </c>
      <c r="M27" s="201">
        <f>1816.1-98.5</f>
        <v>1717.6</v>
      </c>
      <c r="N27" s="201"/>
      <c r="O27" s="201"/>
      <c r="P27" s="201"/>
      <c r="Q27" s="201">
        <v>38423.2</v>
      </c>
      <c r="R27" s="201">
        <v>555.7</v>
      </c>
      <c r="S27" s="359">
        <v>20328.931</v>
      </c>
      <c r="T27" s="201">
        <f>1807.6+447.6</f>
        <v>2255.2</v>
      </c>
      <c r="U27" s="372">
        <f t="shared" si="0"/>
        <v>207493.96700000003</v>
      </c>
      <c r="V27" s="205"/>
      <c r="W27" s="232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</row>
    <row r="28" spans="1:40" s="206" customFormat="1" ht="15.75" customHeight="1">
      <c r="A28" s="203" t="s">
        <v>148</v>
      </c>
      <c r="B28" s="367">
        <f>115755.8+8598.5+15.9+1142</f>
        <v>125512.2</v>
      </c>
      <c r="C28" s="201">
        <f>25021.2-9944.1+169.6</f>
        <v>15246.7</v>
      </c>
      <c r="D28" s="201">
        <f>477-125</f>
        <v>352</v>
      </c>
      <c r="E28" s="201">
        <f>17990+1784.4-245.7</f>
        <v>19528.7</v>
      </c>
      <c r="F28" s="201">
        <f>15052.8+1784.4</f>
        <v>16837.2</v>
      </c>
      <c r="G28" s="201"/>
      <c r="H28" s="201">
        <f>2148.4-171</f>
        <v>1977.4</v>
      </c>
      <c r="I28" s="201"/>
      <c r="J28" s="201"/>
      <c r="K28" s="201">
        <f>788.8-74.7</f>
        <v>714.0999999999999</v>
      </c>
      <c r="L28" s="201">
        <f>544.8+38+15+77-30-30</f>
        <v>614.8</v>
      </c>
      <c r="M28" s="201">
        <f>126.9</f>
        <v>126.9</v>
      </c>
      <c r="N28" s="201"/>
      <c r="O28" s="201"/>
      <c r="P28" s="201"/>
      <c r="Q28" s="201">
        <v>38648.7</v>
      </c>
      <c r="R28" s="201">
        <v>561.7</v>
      </c>
      <c r="S28" s="359">
        <v>55048.0986</v>
      </c>
      <c r="T28" s="201">
        <f>1724.5+16674.8</f>
        <v>18399.3</v>
      </c>
      <c r="U28" s="202">
        <f t="shared" si="0"/>
        <v>274039.0986</v>
      </c>
      <c r="V28" s="205"/>
      <c r="W28" s="232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</row>
    <row r="29" spans="1:40" s="206" customFormat="1" ht="15.75" customHeight="1">
      <c r="A29" s="203" t="s">
        <v>149</v>
      </c>
      <c r="B29" s="367">
        <f>4287.4+365.3</f>
        <v>4652.7</v>
      </c>
      <c r="C29" s="201">
        <f>482-77.9+9.8</f>
        <v>413.90000000000003</v>
      </c>
      <c r="D29" s="201">
        <f>39.3-7</f>
        <v>32.3</v>
      </c>
      <c r="E29" s="201">
        <f>115.9+2.9</f>
        <v>118.80000000000001</v>
      </c>
      <c r="F29" s="201">
        <v>39.3</v>
      </c>
      <c r="G29" s="201"/>
      <c r="H29" s="201">
        <f>36.8+2.8</f>
        <v>39.599999999999994</v>
      </c>
      <c r="I29" s="201"/>
      <c r="J29" s="201"/>
      <c r="K29" s="201">
        <f>39.8+0.1</f>
        <v>39.9</v>
      </c>
      <c r="L29" s="201">
        <f>156-15</f>
        <v>141</v>
      </c>
      <c r="M29" s="201">
        <v>108.1</v>
      </c>
      <c r="N29" s="201"/>
      <c r="O29" s="201"/>
      <c r="P29" s="201"/>
      <c r="Q29" s="201">
        <v>0</v>
      </c>
      <c r="R29" s="201">
        <v>101.9</v>
      </c>
      <c r="S29" s="359"/>
      <c r="T29" s="201">
        <v>13.6</v>
      </c>
      <c r="U29" s="202">
        <f t="shared" si="0"/>
        <v>5582.3</v>
      </c>
      <c r="V29" s="205"/>
      <c r="W29" s="232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</row>
    <row r="30" spans="1:40" s="206" customFormat="1" ht="15.75" customHeight="1">
      <c r="A30" s="203" t="s">
        <v>150</v>
      </c>
      <c r="B30" s="367">
        <f>17770.1+88.2+234.8+100</f>
        <v>18193.1</v>
      </c>
      <c r="C30" s="201">
        <f>1654.3-219.1+80.6</f>
        <v>1515.8</v>
      </c>
      <c r="D30" s="201">
        <f>345.7-58-14</f>
        <v>273.7</v>
      </c>
      <c r="E30" s="201">
        <v>511.9</v>
      </c>
      <c r="F30" s="201">
        <v>237.2</v>
      </c>
      <c r="G30" s="201"/>
      <c r="H30" s="201">
        <v>200.9</v>
      </c>
      <c r="I30" s="201"/>
      <c r="J30" s="201"/>
      <c r="K30" s="201">
        <v>73.8</v>
      </c>
      <c r="L30" s="201">
        <f>96-10</f>
        <v>86</v>
      </c>
      <c r="M30" s="201">
        <f>92.9</f>
        <v>92.9</v>
      </c>
      <c r="N30" s="201"/>
      <c r="O30" s="201"/>
      <c r="P30" s="201"/>
      <c r="Q30" s="201">
        <v>1837</v>
      </c>
      <c r="R30" s="201">
        <v>280.2</v>
      </c>
      <c r="S30" s="359"/>
      <c r="T30" s="201">
        <f>3161+4820.3</f>
        <v>7981.3</v>
      </c>
      <c r="U30" s="202">
        <f t="shared" si="0"/>
        <v>30771.9</v>
      </c>
      <c r="V30" s="205"/>
      <c r="W30" s="232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</row>
    <row r="31" spans="1:40" s="206" customFormat="1" ht="15.75" customHeight="1">
      <c r="A31" s="203" t="s">
        <v>151</v>
      </c>
      <c r="B31" s="367">
        <f>45722.3+876.8+650</f>
        <v>47249.100000000006</v>
      </c>
      <c r="C31" s="201">
        <f>15673.5-6931.7+47.5</f>
        <v>8789.3</v>
      </c>
      <c r="D31" s="201">
        <f>489.4-180</f>
        <v>309.4</v>
      </c>
      <c r="E31" s="201">
        <f>3973.9+188.2</f>
        <v>4162.1</v>
      </c>
      <c r="F31" s="201">
        <v>3371</v>
      </c>
      <c r="G31" s="201"/>
      <c r="H31" s="201">
        <f>533.4+116.3</f>
        <v>649.6999999999999</v>
      </c>
      <c r="I31" s="201"/>
      <c r="J31" s="201"/>
      <c r="K31" s="201">
        <f>69.5+71.9</f>
        <v>141.4</v>
      </c>
      <c r="L31" s="201">
        <f>432+75+15-83-22</f>
        <v>417</v>
      </c>
      <c r="M31" s="201">
        <v>622.1</v>
      </c>
      <c r="N31" s="201"/>
      <c r="O31" s="201"/>
      <c r="P31" s="201"/>
      <c r="Q31" s="201">
        <v>24210</v>
      </c>
      <c r="R31" s="201">
        <v>281.2</v>
      </c>
      <c r="S31" s="359"/>
      <c r="T31" s="201">
        <f>1870.1+575+5782.3</f>
        <v>8227.4</v>
      </c>
      <c r="U31" s="202">
        <f t="shared" si="0"/>
        <v>94267.59999999999</v>
      </c>
      <c r="V31" s="205"/>
      <c r="W31" s="232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</row>
    <row r="32" spans="1:40" s="206" customFormat="1" ht="15.75" customHeight="1">
      <c r="A32" s="203" t="s">
        <v>152</v>
      </c>
      <c r="B32" s="367">
        <f>22995.8+1382.7+795.4</f>
        <v>25173.9</v>
      </c>
      <c r="C32" s="201">
        <f>2579-298.4+22.5</f>
        <v>2303.1</v>
      </c>
      <c r="D32" s="201">
        <f>631.6-201+37</f>
        <v>467.6</v>
      </c>
      <c r="E32" s="201">
        <f>385.9-20.8</f>
        <v>365.09999999999997</v>
      </c>
      <c r="F32" s="201">
        <v>171.5</v>
      </c>
      <c r="G32" s="201"/>
      <c r="H32" s="201">
        <f>170.9-19.6</f>
        <v>151.3</v>
      </c>
      <c r="I32" s="201"/>
      <c r="J32" s="201"/>
      <c r="K32" s="201">
        <f>43.5-1.2</f>
        <v>42.3</v>
      </c>
      <c r="L32" s="201">
        <f>176.4+1+1+4</f>
        <v>182.4</v>
      </c>
      <c r="M32" s="201">
        <v>68.9</v>
      </c>
      <c r="N32" s="201"/>
      <c r="O32" s="201"/>
      <c r="P32" s="201"/>
      <c r="Q32" s="201">
        <v>3152</v>
      </c>
      <c r="R32" s="201">
        <v>289.5</v>
      </c>
      <c r="S32" s="359"/>
      <c r="T32" s="201">
        <f>758.4+1466.7</f>
        <v>2225.1</v>
      </c>
      <c r="U32" s="202">
        <f t="shared" si="0"/>
        <v>34227.6</v>
      </c>
      <c r="V32" s="205"/>
      <c r="W32" s="232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s="206" customFormat="1" ht="15.75" customHeight="1">
      <c r="A33" s="203" t="s">
        <v>153</v>
      </c>
      <c r="B33" s="367">
        <f>28423.4+95.7</f>
        <v>28519.100000000002</v>
      </c>
      <c r="C33" s="201">
        <f>2995.2-379.2-191.9</f>
        <v>2424.1</v>
      </c>
      <c r="D33" s="201">
        <f>2255.6-514+1</f>
        <v>1742.6</v>
      </c>
      <c r="E33" s="201">
        <v>384.6</v>
      </c>
      <c r="F33" s="201">
        <v>140.3</v>
      </c>
      <c r="G33" s="201"/>
      <c r="H33" s="201">
        <f>191.9+3.6</f>
        <v>195.5</v>
      </c>
      <c r="I33" s="201"/>
      <c r="J33" s="201"/>
      <c r="K33" s="201">
        <f>52.4-3.6</f>
        <v>48.8</v>
      </c>
      <c r="L33" s="201">
        <f>85.2+6.026-22</f>
        <v>69.226</v>
      </c>
      <c r="M33" s="201">
        <v>331.5</v>
      </c>
      <c r="N33" s="201"/>
      <c r="O33" s="201"/>
      <c r="P33" s="201"/>
      <c r="Q33" s="201">
        <v>4415.4</v>
      </c>
      <c r="R33" s="201">
        <v>269.3</v>
      </c>
      <c r="S33" s="359">
        <v>320.438</v>
      </c>
      <c r="T33" s="201">
        <f>929+1374.7</f>
        <v>2303.7</v>
      </c>
      <c r="U33" s="202">
        <f t="shared" si="0"/>
        <v>40779.96400000001</v>
      </c>
      <c r="V33" s="205"/>
      <c r="W33" s="232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</row>
    <row r="34" spans="1:40" s="206" customFormat="1" ht="15.75" customHeight="1">
      <c r="A34" s="203" t="s">
        <v>154</v>
      </c>
      <c r="B34" s="367">
        <f>5170+154.4+181.1+17</f>
        <v>5522.5</v>
      </c>
      <c r="C34" s="201">
        <f>1622.9-916.6+23.4</f>
        <v>729.7</v>
      </c>
      <c r="D34" s="201">
        <f>0+55</f>
        <v>55</v>
      </c>
      <c r="E34" s="201">
        <f>159.5+10.5</f>
        <v>170</v>
      </c>
      <c r="F34" s="201">
        <v>130.1</v>
      </c>
      <c r="G34" s="201"/>
      <c r="H34" s="201">
        <f>20.5+9.8</f>
        <v>30.3</v>
      </c>
      <c r="I34" s="201"/>
      <c r="J34" s="201"/>
      <c r="K34" s="201">
        <f>8.9+0.7</f>
        <v>9.6</v>
      </c>
      <c r="L34" s="201">
        <f>120-40-15</f>
        <v>65</v>
      </c>
      <c r="M34" s="201">
        <f>209-6</f>
        <v>203</v>
      </c>
      <c r="N34" s="201"/>
      <c r="O34" s="201"/>
      <c r="P34" s="201"/>
      <c r="Q34" s="201">
        <v>1706.8</v>
      </c>
      <c r="R34" s="201"/>
      <c r="S34" s="359">
        <v>228.78319</v>
      </c>
      <c r="T34" s="201">
        <f>881.1+28.7</f>
        <v>909.8000000000001</v>
      </c>
      <c r="U34" s="202">
        <f t="shared" si="0"/>
        <v>9590.58319</v>
      </c>
      <c r="V34" s="205"/>
      <c r="W34" s="232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</row>
    <row r="35" spans="1:40" s="206" customFormat="1" ht="15.75" customHeight="1">
      <c r="A35" s="203" t="s">
        <v>155</v>
      </c>
      <c r="B35" s="367">
        <f>33394.1+2027.4+432.9+54</f>
        <v>35908.4</v>
      </c>
      <c r="C35" s="201">
        <f>7807.6-1454.5-562.4</f>
        <v>5790.700000000001</v>
      </c>
      <c r="D35" s="201">
        <f>587.3-239</f>
        <v>348.29999999999995</v>
      </c>
      <c r="E35" s="201">
        <f>2690.2+121.3</f>
        <v>2811.5</v>
      </c>
      <c r="F35" s="201">
        <f>2253.2+121.3</f>
        <v>2374.5</v>
      </c>
      <c r="G35" s="201"/>
      <c r="H35" s="201">
        <v>376.1</v>
      </c>
      <c r="I35" s="201"/>
      <c r="J35" s="201"/>
      <c r="K35" s="201">
        <v>60.9</v>
      </c>
      <c r="L35" s="201">
        <f>398.4+44-40</f>
        <v>402.4</v>
      </c>
      <c r="M35" s="201">
        <v>65.7</v>
      </c>
      <c r="N35" s="201"/>
      <c r="O35" s="201"/>
      <c r="P35" s="201"/>
      <c r="Q35" s="201">
        <f>12060+310</f>
        <v>12370</v>
      </c>
      <c r="R35" s="201">
        <v>456.6</v>
      </c>
      <c r="S35" s="359">
        <v>8084.57587</v>
      </c>
      <c r="T35" s="201">
        <f>100.9+2389.2</f>
        <v>2490.1</v>
      </c>
      <c r="U35" s="202">
        <f t="shared" si="0"/>
        <v>68728.27587000001</v>
      </c>
      <c r="V35" s="205"/>
      <c r="W35" s="232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s="206" customFormat="1" ht="15.75" customHeight="1">
      <c r="A36" s="203" t="s">
        <v>156</v>
      </c>
      <c r="B36" s="367">
        <v>23586.5</v>
      </c>
      <c r="C36" s="201">
        <f>2986.3-621.8-74.7</f>
        <v>2289.8</v>
      </c>
      <c r="D36" s="201">
        <f>823.6-183+27</f>
        <v>667.6</v>
      </c>
      <c r="E36" s="201">
        <v>582.6</v>
      </c>
      <c r="F36" s="201">
        <v>390</v>
      </c>
      <c r="G36" s="201"/>
      <c r="H36" s="201">
        <v>139</v>
      </c>
      <c r="I36" s="201"/>
      <c r="J36" s="201"/>
      <c r="K36" s="201">
        <v>53.6</v>
      </c>
      <c r="L36" s="201">
        <f>124.8+3+4+13+11</f>
        <v>155.8</v>
      </c>
      <c r="M36" s="201">
        <v>335.7</v>
      </c>
      <c r="N36" s="201"/>
      <c r="O36" s="201"/>
      <c r="P36" s="201"/>
      <c r="Q36" s="201">
        <v>4612.8</v>
      </c>
      <c r="R36" s="201">
        <v>458.6</v>
      </c>
      <c r="S36" s="359"/>
      <c r="T36" s="201">
        <f>837.3+3411.5</f>
        <v>4248.8</v>
      </c>
      <c r="U36" s="202">
        <f t="shared" si="0"/>
        <v>36938.2</v>
      </c>
      <c r="V36" s="205"/>
      <c r="W36" s="232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</row>
    <row r="37" spans="1:40" s="206" customFormat="1" ht="15.75" customHeight="1">
      <c r="A37" s="203" t="s">
        <v>157</v>
      </c>
      <c r="B37" s="367">
        <f>9493+1044.6+12.8</f>
        <v>10550.4</v>
      </c>
      <c r="C37" s="201">
        <f>2776.4-1103.6+106.3</f>
        <v>1779.1000000000001</v>
      </c>
      <c r="D37" s="201">
        <f>261.7-70</f>
        <v>191.7</v>
      </c>
      <c r="E37" s="201">
        <f>2661.1+4306.6+14.1</f>
        <v>6981.800000000001</v>
      </c>
      <c r="F37" s="201">
        <v>289.5</v>
      </c>
      <c r="G37" s="201">
        <f>957.6+3127.6-301.5</f>
        <v>3783.7</v>
      </c>
      <c r="H37" s="201">
        <f>206.4+14.1</f>
        <v>220.5</v>
      </c>
      <c r="I37" s="201"/>
      <c r="J37" s="201">
        <f>1187+1179+301.5</f>
        <v>2667.5</v>
      </c>
      <c r="K37" s="201">
        <v>20.6</v>
      </c>
      <c r="L37" s="201">
        <f>168+5</f>
        <v>173</v>
      </c>
      <c r="M37" s="201">
        <v>229</v>
      </c>
      <c r="N37" s="201"/>
      <c r="O37" s="201"/>
      <c r="P37" s="201"/>
      <c r="Q37" s="201">
        <v>4288.5</v>
      </c>
      <c r="R37" s="201"/>
      <c r="S37" s="359"/>
      <c r="T37" s="201">
        <v>1477.7</v>
      </c>
      <c r="U37" s="202">
        <f t="shared" si="0"/>
        <v>25671.2</v>
      </c>
      <c r="V37" s="205"/>
      <c r="W37" s="232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</row>
    <row r="38" spans="1:40" s="206" customFormat="1" ht="15.75" customHeight="1">
      <c r="A38" s="203" t="s">
        <v>158</v>
      </c>
      <c r="B38" s="367">
        <f>9140-777.8</f>
        <v>8362.2</v>
      </c>
      <c r="C38" s="201">
        <f>376.6-82.8-12.5</f>
        <v>281.3</v>
      </c>
      <c r="D38" s="201">
        <f>532.6-110</f>
        <v>422.6</v>
      </c>
      <c r="E38" s="201">
        <v>75</v>
      </c>
      <c r="F38" s="201">
        <v>0</v>
      </c>
      <c r="G38" s="201"/>
      <c r="H38" s="201">
        <v>68.1</v>
      </c>
      <c r="I38" s="201"/>
      <c r="J38" s="201"/>
      <c r="K38" s="201">
        <v>6.9</v>
      </c>
      <c r="L38" s="201">
        <f>108-22</f>
        <v>86</v>
      </c>
      <c r="M38" s="201">
        <v>392.5</v>
      </c>
      <c r="N38" s="201"/>
      <c r="O38" s="201"/>
      <c r="P38" s="201"/>
      <c r="Q38" s="201">
        <v>895.7</v>
      </c>
      <c r="R38" s="201"/>
      <c r="S38" s="359"/>
      <c r="T38" s="201">
        <f>528.6+979.8</f>
        <v>1508.4</v>
      </c>
      <c r="U38" s="202">
        <f t="shared" si="0"/>
        <v>12023.7</v>
      </c>
      <c r="V38" s="205"/>
      <c r="W38" s="232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</row>
    <row r="39" spans="1:40" s="206" customFormat="1" ht="15.75" customHeight="1">
      <c r="A39" s="203" t="s">
        <v>159</v>
      </c>
      <c r="B39" s="367">
        <f>18226.6-1113</f>
        <v>17113.6</v>
      </c>
      <c r="C39" s="201">
        <f>2216.2-967-65.8</f>
        <v>1183.3999999999999</v>
      </c>
      <c r="D39" s="201">
        <f>962-410</f>
        <v>552</v>
      </c>
      <c r="E39" s="201">
        <f>483.6-29.7</f>
        <v>453.90000000000003</v>
      </c>
      <c r="F39" s="201">
        <v>220.7</v>
      </c>
      <c r="G39" s="201"/>
      <c r="H39" s="201">
        <f>192-29.1</f>
        <v>162.9</v>
      </c>
      <c r="I39" s="201"/>
      <c r="J39" s="201"/>
      <c r="K39" s="201">
        <f>70.9-0.6</f>
        <v>70.30000000000001</v>
      </c>
      <c r="L39" s="201">
        <f>78+2+1</f>
        <v>81</v>
      </c>
      <c r="M39" s="201">
        <f>477.2+115</f>
        <v>592.2</v>
      </c>
      <c r="N39" s="201"/>
      <c r="O39" s="201"/>
      <c r="P39" s="201"/>
      <c r="Q39" s="201">
        <v>7867.8</v>
      </c>
      <c r="R39" s="201"/>
      <c r="S39" s="359"/>
      <c r="T39" s="201">
        <f>838.9+1662.3</f>
        <v>2501.2</v>
      </c>
      <c r="U39" s="202">
        <f t="shared" si="0"/>
        <v>30345.100000000002</v>
      </c>
      <c r="V39" s="205"/>
      <c r="W39" s="232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</row>
    <row r="40" spans="1:40" s="206" customFormat="1" ht="15.75" customHeight="1">
      <c r="A40" s="203" t="s">
        <v>160</v>
      </c>
      <c r="B40" s="367">
        <f>18728.3-1297</f>
        <v>17431.3</v>
      </c>
      <c r="C40" s="201">
        <f>3412.5-1844.6+13</f>
        <v>1580.9</v>
      </c>
      <c r="D40" s="201">
        <f>659.6-217</f>
        <v>442.6</v>
      </c>
      <c r="E40" s="201">
        <v>282.6</v>
      </c>
      <c r="F40" s="201">
        <v>133</v>
      </c>
      <c r="G40" s="201"/>
      <c r="H40" s="201">
        <f>108.3-0.5</f>
        <v>107.8</v>
      </c>
      <c r="I40" s="201"/>
      <c r="J40" s="201"/>
      <c r="K40" s="201">
        <f>41.3+0.5</f>
        <v>41.8</v>
      </c>
      <c r="L40" s="201">
        <f>132-10</f>
        <v>122</v>
      </c>
      <c r="M40" s="201">
        <v>498.6</v>
      </c>
      <c r="N40" s="201"/>
      <c r="O40" s="201">
        <f>97.4+18.4</f>
        <v>115.80000000000001</v>
      </c>
      <c r="P40" s="201"/>
      <c r="Q40" s="201">
        <v>6360.3</v>
      </c>
      <c r="R40" s="201"/>
      <c r="S40" s="359"/>
      <c r="T40" s="201">
        <f>2359.9+3374.3</f>
        <v>5734.200000000001</v>
      </c>
      <c r="U40" s="202">
        <f t="shared" si="0"/>
        <v>32568.299999999996</v>
      </c>
      <c r="V40" s="205"/>
      <c r="W40" s="232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</row>
    <row r="41" spans="1:40" s="206" customFormat="1" ht="15.75" customHeight="1">
      <c r="A41" s="203" t="s">
        <v>161</v>
      </c>
      <c r="B41" s="367">
        <f>15067.5-882</f>
        <v>14185.5</v>
      </c>
      <c r="C41" s="201">
        <f>973.9-261.5+21.7</f>
        <v>734.1</v>
      </c>
      <c r="D41" s="201">
        <f>1797.8-390</f>
        <v>1407.8</v>
      </c>
      <c r="E41" s="201">
        <f>278.7-3.2</f>
        <v>275.5</v>
      </c>
      <c r="F41" s="201">
        <v>79.2</v>
      </c>
      <c r="G41" s="201"/>
      <c r="H41" s="201">
        <f>142.4-3.5</f>
        <v>138.9</v>
      </c>
      <c r="I41" s="201"/>
      <c r="J41" s="201"/>
      <c r="K41" s="201">
        <f>57.1+0.3</f>
        <v>57.4</v>
      </c>
      <c r="L41" s="201">
        <v>168</v>
      </c>
      <c r="M41" s="201">
        <f>564.6+93.9</f>
        <v>658.5</v>
      </c>
      <c r="N41" s="201"/>
      <c r="O41" s="201">
        <v>21.1</v>
      </c>
      <c r="P41" s="201"/>
      <c r="Q41" s="201">
        <v>620.1</v>
      </c>
      <c r="R41" s="201"/>
      <c r="S41" s="359"/>
      <c r="T41" s="201">
        <f>1002.6+1315.3</f>
        <v>2317.9</v>
      </c>
      <c r="U41" s="202">
        <f t="shared" si="0"/>
        <v>20388.5</v>
      </c>
      <c r="V41" s="205"/>
      <c r="W41" s="232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</row>
    <row r="42" spans="1:40" s="206" customFormat="1" ht="15.75" customHeight="1">
      <c r="A42" s="203" t="s">
        <v>162</v>
      </c>
      <c r="B42" s="367">
        <f>29497.5-784</f>
        <v>28713.5</v>
      </c>
      <c r="C42" s="201">
        <f>4612.9-2050.7-14.1</f>
        <v>2548.1</v>
      </c>
      <c r="D42" s="201">
        <f>1761.6-580</f>
        <v>1181.6</v>
      </c>
      <c r="E42" s="201">
        <v>429.5</v>
      </c>
      <c r="F42" s="201">
        <v>209.3</v>
      </c>
      <c r="G42" s="201"/>
      <c r="H42" s="201">
        <v>150.2</v>
      </c>
      <c r="I42" s="201"/>
      <c r="J42" s="201"/>
      <c r="K42" s="201">
        <v>70</v>
      </c>
      <c r="L42" s="201">
        <f>166.8+57+60+24.5-40</f>
        <v>268.3</v>
      </c>
      <c r="M42" s="201">
        <v>1069.1</v>
      </c>
      <c r="N42" s="201"/>
      <c r="O42" s="201">
        <v>21.8</v>
      </c>
      <c r="P42" s="201"/>
      <c r="Q42" s="201">
        <v>5669.9</v>
      </c>
      <c r="R42" s="201"/>
      <c r="S42" s="359">
        <v>269.93749</v>
      </c>
      <c r="T42" s="201">
        <f>1486.9+2569.8</f>
        <v>4056.7000000000003</v>
      </c>
      <c r="U42" s="202">
        <f t="shared" si="0"/>
        <v>44228.43749</v>
      </c>
      <c r="V42" s="205"/>
      <c r="W42" s="232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</row>
    <row r="43" spans="1:40" s="206" customFormat="1" ht="15.75" customHeight="1">
      <c r="A43" s="203" t="s">
        <v>163</v>
      </c>
      <c r="B43" s="367">
        <f>9791.4+162.4+26.8+73.2</f>
        <v>10053.8</v>
      </c>
      <c r="C43" s="201">
        <f>1148-792.8+12.7</f>
        <v>367.90000000000003</v>
      </c>
      <c r="D43" s="201">
        <f>286.9-20</f>
        <v>266.9</v>
      </c>
      <c r="E43" s="201">
        <f>229.9-6.6</f>
        <v>223.3</v>
      </c>
      <c r="F43" s="201">
        <v>122.3</v>
      </c>
      <c r="G43" s="201"/>
      <c r="H43" s="201">
        <f>72.3-4.1</f>
        <v>68.2</v>
      </c>
      <c r="I43" s="201"/>
      <c r="J43" s="201"/>
      <c r="K43" s="201">
        <f>35.3-2.5</f>
        <v>32.8</v>
      </c>
      <c r="L43" s="201">
        <f>98.4+10+2</f>
        <v>110.4</v>
      </c>
      <c r="M43" s="201">
        <f>396.2+2.4+6</f>
        <v>404.59999999999997</v>
      </c>
      <c r="N43" s="201"/>
      <c r="O43" s="201"/>
      <c r="P43" s="201"/>
      <c r="Q43" s="201">
        <v>3060.2</v>
      </c>
      <c r="R43" s="201"/>
      <c r="S43" s="359"/>
      <c r="T43" s="201">
        <f>1013.9+1591.3</f>
        <v>2605.2</v>
      </c>
      <c r="U43" s="202">
        <f t="shared" si="0"/>
        <v>17092.3</v>
      </c>
      <c r="V43" s="205"/>
      <c r="W43" s="232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</row>
    <row r="44" spans="1:40" s="206" customFormat="1" ht="15.75" customHeight="1">
      <c r="A44" s="203" t="s">
        <v>164</v>
      </c>
      <c r="B44" s="367">
        <f>6579.4+276.8+3.4</f>
        <v>6859.599999999999</v>
      </c>
      <c r="C44" s="201">
        <f>184.1-14.4+1.8</f>
        <v>171.5</v>
      </c>
      <c r="D44" s="201">
        <f>513.9-223</f>
        <v>290.9</v>
      </c>
      <c r="E44" s="201">
        <v>40.3</v>
      </c>
      <c r="F44" s="201">
        <v>12.9</v>
      </c>
      <c r="G44" s="201"/>
      <c r="H44" s="201">
        <f>17.4-0.4</f>
        <v>17</v>
      </c>
      <c r="I44" s="201"/>
      <c r="J44" s="201"/>
      <c r="K44" s="201">
        <f>10+0.4</f>
        <v>10.4</v>
      </c>
      <c r="L44" s="201">
        <f>96-25</f>
        <v>71</v>
      </c>
      <c r="M44" s="201">
        <f>98.6+2.2</f>
        <v>100.8</v>
      </c>
      <c r="N44" s="201"/>
      <c r="O44" s="201"/>
      <c r="P44" s="201"/>
      <c r="Q44" s="201">
        <v>0</v>
      </c>
      <c r="R44" s="201"/>
      <c r="S44" s="359"/>
      <c r="T44" s="201">
        <f>1409.6+1350.2</f>
        <v>2759.8</v>
      </c>
      <c r="U44" s="202">
        <f t="shared" si="0"/>
        <v>10293.9</v>
      </c>
      <c r="V44" s="205"/>
      <c r="W44" s="232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</row>
    <row r="45" spans="1:40" s="206" customFormat="1" ht="15.75" customHeight="1">
      <c r="A45" s="203" t="s">
        <v>165</v>
      </c>
      <c r="B45" s="367">
        <f>6639.4+123+108.1+27</f>
        <v>6897.5</v>
      </c>
      <c r="C45" s="201">
        <f>934.1-652.7+22.7</f>
        <v>304.09999999999997</v>
      </c>
      <c r="D45" s="201">
        <f>276.9-80</f>
        <v>196.89999999999998</v>
      </c>
      <c r="E45" s="201">
        <v>178.1</v>
      </c>
      <c r="F45" s="201">
        <v>141.9</v>
      </c>
      <c r="G45" s="201"/>
      <c r="H45" s="201">
        <v>24.1</v>
      </c>
      <c r="I45" s="201"/>
      <c r="J45" s="201"/>
      <c r="K45" s="201">
        <v>12.1</v>
      </c>
      <c r="L45" s="201">
        <f>50.4-12</f>
        <v>38.4</v>
      </c>
      <c r="M45" s="201">
        <v>234.7</v>
      </c>
      <c r="N45" s="201"/>
      <c r="O45" s="201">
        <v>18.3</v>
      </c>
      <c r="P45" s="201"/>
      <c r="Q45" s="201">
        <v>2853</v>
      </c>
      <c r="R45" s="201"/>
      <c r="S45" s="359"/>
      <c r="T45" s="201">
        <f>625.7+1166</f>
        <v>1791.7</v>
      </c>
      <c r="U45" s="202">
        <f t="shared" si="0"/>
        <v>12512.7</v>
      </c>
      <c r="V45" s="205"/>
      <c r="W45" s="232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</row>
    <row r="46" spans="1:40" s="206" customFormat="1" ht="15.75" customHeight="1">
      <c r="A46" s="203" t="s">
        <v>166</v>
      </c>
      <c r="B46" s="367">
        <f>8352.1+12.3+47.5</f>
        <v>8411.9</v>
      </c>
      <c r="C46" s="201">
        <f>248.5-13.8+16</f>
        <v>250.7</v>
      </c>
      <c r="D46" s="201">
        <f>952.5-290-50</f>
        <v>612.5</v>
      </c>
      <c r="E46" s="201">
        <f>130.6-2.2</f>
        <v>128.4</v>
      </c>
      <c r="F46" s="201">
        <v>84.8</v>
      </c>
      <c r="G46" s="201"/>
      <c r="H46" s="201">
        <v>32.5</v>
      </c>
      <c r="I46" s="201"/>
      <c r="J46" s="201"/>
      <c r="K46" s="201">
        <f>13.3-2.2</f>
        <v>11.100000000000001</v>
      </c>
      <c r="L46" s="201">
        <f>60+1+3</f>
        <v>64</v>
      </c>
      <c r="M46" s="201">
        <v>190.9</v>
      </c>
      <c r="N46" s="201"/>
      <c r="O46" s="201"/>
      <c r="P46" s="201"/>
      <c r="Q46" s="201">
        <v>383.9</v>
      </c>
      <c r="R46" s="201"/>
      <c r="S46" s="359"/>
      <c r="T46" s="201">
        <f>1035.3+866.6</f>
        <v>1901.9</v>
      </c>
      <c r="U46" s="202">
        <f t="shared" si="0"/>
        <v>11944.199999999999</v>
      </c>
      <c r="V46" s="205"/>
      <c r="W46" s="232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</row>
    <row r="47" spans="1:40" s="206" customFormat="1" ht="15.75" customHeight="1">
      <c r="A47" s="203" t="s">
        <v>167</v>
      </c>
      <c r="B47" s="367">
        <f>31268+271</f>
        <v>31539</v>
      </c>
      <c r="C47" s="201">
        <f>3621-641.3-4.2</f>
        <v>2975.5</v>
      </c>
      <c r="D47" s="201">
        <f>1072.6-357-10</f>
        <v>705.5999999999999</v>
      </c>
      <c r="E47" s="201">
        <v>634.2</v>
      </c>
      <c r="F47" s="201">
        <v>275.1</v>
      </c>
      <c r="G47" s="201"/>
      <c r="H47" s="201">
        <v>252.7</v>
      </c>
      <c r="I47" s="201"/>
      <c r="J47" s="201"/>
      <c r="K47" s="201">
        <v>106.4</v>
      </c>
      <c r="L47" s="201">
        <f>75.6+1+2</f>
        <v>78.6</v>
      </c>
      <c r="M47" s="201">
        <v>450.6</v>
      </c>
      <c r="N47" s="201"/>
      <c r="O47" s="201"/>
      <c r="P47" s="201"/>
      <c r="Q47" s="201">
        <v>4116</v>
      </c>
      <c r="R47" s="201"/>
      <c r="S47" s="359">
        <v>2695.44072</v>
      </c>
      <c r="T47" s="201">
        <f>2074.2+3914.3</f>
        <v>5988.5</v>
      </c>
      <c r="U47" s="202">
        <f t="shared" si="0"/>
        <v>49183.44071999999</v>
      </c>
      <c r="V47" s="205"/>
      <c r="W47" s="232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</row>
    <row r="48" spans="1:40" s="206" customFormat="1" ht="15.75" customHeight="1">
      <c r="A48" s="203" t="s">
        <v>168</v>
      </c>
      <c r="B48" s="367">
        <f>11502.4+732.4+31.2</f>
        <v>12266</v>
      </c>
      <c r="C48" s="201">
        <f>840.8-221.5-25.5</f>
        <v>593.8</v>
      </c>
      <c r="D48" s="201">
        <f>383.9-113</f>
        <v>270.9</v>
      </c>
      <c r="E48" s="201">
        <v>333</v>
      </c>
      <c r="F48" s="201">
        <v>219.2</v>
      </c>
      <c r="G48" s="201"/>
      <c r="H48" s="201">
        <v>98.6</v>
      </c>
      <c r="I48" s="201"/>
      <c r="J48" s="201"/>
      <c r="K48" s="201">
        <v>15.2</v>
      </c>
      <c r="L48" s="201">
        <f>78-15+5</f>
        <v>68</v>
      </c>
      <c r="M48" s="201">
        <f>325.3</f>
        <v>325.3</v>
      </c>
      <c r="N48" s="201"/>
      <c r="O48" s="201">
        <v>28.5</v>
      </c>
      <c r="P48" s="201"/>
      <c r="Q48" s="201">
        <v>3991.3</v>
      </c>
      <c r="R48" s="201"/>
      <c r="S48" s="359"/>
      <c r="T48" s="201">
        <f>1193.6+1374.7</f>
        <v>2568.3</v>
      </c>
      <c r="U48" s="202">
        <f>B48+C48+D48+E48+L48+M48+N48+Q48+R48+S48+T48+O48</f>
        <v>20445.1</v>
      </c>
      <c r="V48" s="205"/>
      <c r="W48" s="232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</row>
    <row r="49" spans="1:40" s="206" customFormat="1" ht="15.75" customHeight="1">
      <c r="A49" s="203" t="s">
        <v>169</v>
      </c>
      <c r="B49" s="367">
        <f>6817.4+812.8+104.5+20</f>
        <v>7754.7</v>
      </c>
      <c r="C49" s="201">
        <f>1584.4-957.5+1.8</f>
        <v>628.7</v>
      </c>
      <c r="D49" s="201">
        <f>399.9-119</f>
        <v>280.9</v>
      </c>
      <c r="E49" s="201">
        <v>273.5</v>
      </c>
      <c r="F49" s="201">
        <v>146.7</v>
      </c>
      <c r="G49" s="201"/>
      <c r="H49" s="201">
        <v>89</v>
      </c>
      <c r="I49" s="201"/>
      <c r="J49" s="201"/>
      <c r="K49" s="201">
        <v>37.8</v>
      </c>
      <c r="L49" s="201">
        <f>24+65+6+22.5-12</f>
        <v>105.5</v>
      </c>
      <c r="M49" s="201">
        <f>322.3</f>
        <v>322.3</v>
      </c>
      <c r="N49" s="201"/>
      <c r="O49" s="201"/>
      <c r="P49" s="201"/>
      <c r="Q49" s="201">
        <v>3459.3</v>
      </c>
      <c r="R49" s="201"/>
      <c r="S49" s="359"/>
      <c r="T49" s="201">
        <f>1916+1747.9</f>
        <v>3663.9</v>
      </c>
      <c r="U49" s="202">
        <f t="shared" si="0"/>
        <v>16488.8</v>
      </c>
      <c r="V49" s="205"/>
      <c r="W49" s="232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</row>
    <row r="50" spans="1:40" s="206" customFormat="1" ht="15.75" customHeight="1">
      <c r="A50" s="203" t="s">
        <v>170</v>
      </c>
      <c r="B50" s="367">
        <f>12283.8+223.5+39+145</f>
        <v>12691.3</v>
      </c>
      <c r="C50" s="201">
        <f>706.1-297.2-5.5</f>
        <v>403.40000000000003</v>
      </c>
      <c r="D50" s="201">
        <f>995.8-348</f>
        <v>647.8</v>
      </c>
      <c r="E50" s="201">
        <f>159.2+5.1</f>
        <v>164.29999999999998</v>
      </c>
      <c r="F50" s="201">
        <v>130.6</v>
      </c>
      <c r="G50" s="201"/>
      <c r="H50" s="201">
        <f>22.5+4.7</f>
        <v>27.2</v>
      </c>
      <c r="I50" s="201"/>
      <c r="J50" s="201"/>
      <c r="K50" s="201">
        <f>6.1+0.4</f>
        <v>6.5</v>
      </c>
      <c r="L50" s="201">
        <f>228+24</f>
        <v>252</v>
      </c>
      <c r="M50" s="201">
        <v>169.8</v>
      </c>
      <c r="N50" s="201">
        <v>100</v>
      </c>
      <c r="O50" s="201">
        <v>20.1</v>
      </c>
      <c r="P50" s="201"/>
      <c r="Q50" s="201">
        <v>1371.7</v>
      </c>
      <c r="R50" s="201"/>
      <c r="S50" s="359"/>
      <c r="T50" s="201">
        <f>1451.2+2205.3</f>
        <v>3656.5</v>
      </c>
      <c r="U50" s="202">
        <f t="shared" si="0"/>
        <v>19476.899999999994</v>
      </c>
      <c r="V50" s="205"/>
      <c r="W50" s="232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</row>
    <row r="51" spans="1:40" s="206" customFormat="1" ht="15.75" customHeight="1">
      <c r="A51" s="203" t="s">
        <v>171</v>
      </c>
      <c r="B51" s="367">
        <f>18537.6+105.1-168</f>
        <v>18474.699999999997</v>
      </c>
      <c r="C51" s="201">
        <f>3943.5-879.4-343.7</f>
        <v>2720.4</v>
      </c>
      <c r="D51" s="201">
        <f>866.3-249</f>
        <v>617.3</v>
      </c>
      <c r="E51" s="201">
        <f>407.4+30.8</f>
        <v>438.2</v>
      </c>
      <c r="F51" s="201">
        <v>214.4</v>
      </c>
      <c r="G51" s="201"/>
      <c r="H51" s="201">
        <f>188+26.4</f>
        <v>214.4</v>
      </c>
      <c r="I51" s="201"/>
      <c r="J51" s="201"/>
      <c r="K51" s="201">
        <f>5+4.4</f>
        <v>9.4</v>
      </c>
      <c r="L51" s="201">
        <f>132+2+8</f>
        <v>142</v>
      </c>
      <c r="M51" s="201">
        <v>330.2</v>
      </c>
      <c r="N51" s="201"/>
      <c r="O51" s="201">
        <v>41.2</v>
      </c>
      <c r="P51" s="201"/>
      <c r="Q51" s="201">
        <v>3959.2</v>
      </c>
      <c r="R51" s="201"/>
      <c r="S51" s="359"/>
      <c r="T51" s="201">
        <f>1227+1646.9</f>
        <v>2873.9</v>
      </c>
      <c r="U51" s="202">
        <f t="shared" si="0"/>
        <v>29597.100000000002</v>
      </c>
      <c r="V51" s="205"/>
      <c r="W51" s="232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</row>
    <row r="52" spans="1:40" s="206" customFormat="1" ht="15.75" customHeight="1">
      <c r="A52" s="203" t="s">
        <v>172</v>
      </c>
      <c r="B52" s="367">
        <f>11456.3-102.8</f>
        <v>11353.5</v>
      </c>
      <c r="C52" s="201">
        <f>540.6-10.2-2</f>
        <v>528.4</v>
      </c>
      <c r="D52" s="201">
        <f>1149-319</f>
        <v>830</v>
      </c>
      <c r="E52" s="201">
        <v>204.2</v>
      </c>
      <c r="F52" s="201">
        <v>78.6</v>
      </c>
      <c r="G52" s="201"/>
      <c r="H52" s="201">
        <v>90.6</v>
      </c>
      <c r="I52" s="201"/>
      <c r="J52" s="201"/>
      <c r="K52" s="201">
        <v>35</v>
      </c>
      <c r="L52" s="201">
        <v>96</v>
      </c>
      <c r="M52" s="201">
        <f>337.5+10</f>
        <v>347.5</v>
      </c>
      <c r="N52" s="201"/>
      <c r="O52" s="201"/>
      <c r="P52" s="201"/>
      <c r="Q52" s="201">
        <v>835</v>
      </c>
      <c r="R52" s="201"/>
      <c r="S52" s="359"/>
      <c r="T52" s="201">
        <f>914.1+1205.4</f>
        <v>2119.5</v>
      </c>
      <c r="U52" s="202">
        <f t="shared" si="0"/>
        <v>16314.1</v>
      </c>
      <c r="V52" s="205"/>
      <c r="W52" s="232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</row>
    <row r="53" spans="1:40" s="206" customFormat="1" ht="15.75" customHeight="1">
      <c r="A53" s="203" t="s">
        <v>173</v>
      </c>
      <c r="B53" s="367">
        <f>5913+97.6+21.2</f>
        <v>6031.8</v>
      </c>
      <c r="C53" s="201">
        <f>302.5-89.2-15</f>
        <v>198.3</v>
      </c>
      <c r="D53" s="201">
        <f>439.8-132</f>
        <v>307.8</v>
      </c>
      <c r="E53" s="201">
        <v>98.3</v>
      </c>
      <c r="F53" s="201">
        <v>60.4</v>
      </c>
      <c r="G53" s="201"/>
      <c r="H53" s="201">
        <v>17.8</v>
      </c>
      <c r="I53" s="201"/>
      <c r="J53" s="201"/>
      <c r="K53" s="201">
        <v>20.1</v>
      </c>
      <c r="L53" s="201">
        <f>80.4+1</f>
        <v>81.4</v>
      </c>
      <c r="M53" s="201">
        <v>106.9</v>
      </c>
      <c r="N53" s="201"/>
      <c r="O53" s="201"/>
      <c r="P53" s="201"/>
      <c r="Q53" s="201">
        <v>467.2</v>
      </c>
      <c r="R53" s="201"/>
      <c r="S53" s="359">
        <v>133.85466</v>
      </c>
      <c r="T53" s="201">
        <f>942.9+1711.5</f>
        <v>2654.4</v>
      </c>
      <c r="U53" s="202">
        <f t="shared" si="0"/>
        <v>10079.95466</v>
      </c>
      <c r="V53" s="205"/>
      <c r="W53" s="232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</row>
    <row r="54" spans="1:40" s="206" customFormat="1" ht="15.75" customHeight="1">
      <c r="A54" s="203" t="s">
        <v>174</v>
      </c>
      <c r="B54" s="367">
        <f>7899.8+889.1-62</f>
        <v>8726.9</v>
      </c>
      <c r="C54" s="208">
        <f>550.5-233+17.8</f>
        <v>335.3</v>
      </c>
      <c r="D54" s="201">
        <f>562.2-170</f>
        <v>392.20000000000005</v>
      </c>
      <c r="E54" s="201">
        <f>151+5.2</f>
        <v>156.2</v>
      </c>
      <c r="F54" s="201">
        <v>100.5</v>
      </c>
      <c r="G54" s="201"/>
      <c r="H54" s="201">
        <f>29.9+5.2</f>
        <v>35.1</v>
      </c>
      <c r="I54" s="201"/>
      <c r="J54" s="201"/>
      <c r="K54" s="201">
        <v>20.6</v>
      </c>
      <c r="L54" s="201">
        <f>78-15.9</f>
        <v>62.1</v>
      </c>
      <c r="M54" s="201">
        <v>0</v>
      </c>
      <c r="N54" s="201"/>
      <c r="O54" s="201">
        <v>73</v>
      </c>
      <c r="P54" s="201"/>
      <c r="Q54" s="201">
        <v>850.4</v>
      </c>
      <c r="R54" s="201"/>
      <c r="S54" s="359">
        <v>353.6716</v>
      </c>
      <c r="T54" s="201">
        <f>796.6+297.1</f>
        <v>1093.7</v>
      </c>
      <c r="U54" s="202">
        <f>B54+C54+D54+E54+L54+M54+N54+Q54+R54+S54+T54+O54</f>
        <v>12043.4716</v>
      </c>
      <c r="V54" s="205"/>
      <c r="W54" s="232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</row>
    <row r="55" spans="1:40" s="206" customFormat="1" ht="15.75" customHeight="1" thickBot="1">
      <c r="A55" s="209" t="s">
        <v>175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>
        <f>481.6-422.5-59.1</f>
        <v>0</v>
      </c>
      <c r="M55" s="208">
        <f>12478.2-93.1</f>
        <v>12385.1</v>
      </c>
      <c r="N55" s="208"/>
      <c r="O55" s="208"/>
      <c r="P55" s="208">
        <v>3000</v>
      </c>
      <c r="Q55" s="208"/>
      <c r="R55" s="208"/>
      <c r="S55" s="360">
        <v>55573.17479</v>
      </c>
      <c r="T55" s="208">
        <f>61927.5-46445.6-575-2100+863.7</f>
        <v>13670.600000000002</v>
      </c>
      <c r="U55" s="202">
        <f>B55+C55+D55+E55+L55+M55+N55+Q55+R55+S55+T55+O55+P55</f>
        <v>84628.87479</v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</row>
    <row r="56" spans="1:40" s="206" customFormat="1" ht="15.75" customHeight="1" thickBot="1">
      <c r="A56" s="210" t="s">
        <v>176</v>
      </c>
      <c r="B56" s="370">
        <f>SUM(B10:B55)</f>
        <v>1377580.7229999998</v>
      </c>
      <c r="C56" s="211">
        <f aca="true" t="shared" si="1" ref="C56:T56">SUM(C10:C55)</f>
        <v>185051.09999999998</v>
      </c>
      <c r="D56" s="211">
        <f t="shared" si="1"/>
        <v>23241.900000000005</v>
      </c>
      <c r="E56" s="211">
        <f t="shared" si="1"/>
        <v>195523.4</v>
      </c>
      <c r="F56" s="211">
        <f t="shared" si="1"/>
        <v>161769.60000000003</v>
      </c>
      <c r="G56" s="211">
        <f t="shared" si="1"/>
        <v>9949.8</v>
      </c>
      <c r="H56" s="211">
        <f t="shared" si="1"/>
        <v>14780.2</v>
      </c>
      <c r="I56" s="211">
        <f t="shared" si="1"/>
        <v>1343.8</v>
      </c>
      <c r="J56" s="211">
        <f t="shared" si="1"/>
        <v>3647.4</v>
      </c>
      <c r="K56" s="211">
        <f t="shared" si="1"/>
        <v>4032.6000000000013</v>
      </c>
      <c r="L56" s="211">
        <f t="shared" si="1"/>
        <v>8533.926</v>
      </c>
      <c r="M56" s="211">
        <f t="shared" si="1"/>
        <v>29759.4</v>
      </c>
      <c r="N56" s="211">
        <f t="shared" si="1"/>
        <v>300</v>
      </c>
      <c r="O56" s="211">
        <f t="shared" si="1"/>
        <v>477.6000000000001</v>
      </c>
      <c r="P56" s="211">
        <f t="shared" si="1"/>
        <v>3000</v>
      </c>
      <c r="Q56" s="211">
        <f t="shared" si="1"/>
        <v>431291.4000000001</v>
      </c>
      <c r="R56" s="211">
        <f t="shared" si="1"/>
        <v>7721.8</v>
      </c>
      <c r="S56" s="361">
        <f t="shared" si="1"/>
        <v>245000.00000000003</v>
      </c>
      <c r="T56" s="211">
        <f t="shared" si="1"/>
        <v>178529.2</v>
      </c>
      <c r="U56" s="211">
        <f>SUM(U10:U55)</f>
        <v>2686010.4489999996</v>
      </c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</row>
    <row r="57" spans="2:40" ht="15.75">
      <c r="B57" s="29"/>
      <c r="C57" s="28"/>
      <c r="E57" s="28"/>
      <c r="U57" s="212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</row>
    <row r="58" spans="2:40" s="206" customFormat="1" ht="15.75">
      <c r="B58" s="347"/>
      <c r="C58" s="347"/>
      <c r="E58" s="347"/>
      <c r="U58" s="212">
        <f>U56-T56</f>
        <v>2507481.2489999994</v>
      </c>
      <c r="V58" s="205" t="s">
        <v>377</v>
      </c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</row>
    <row r="59" spans="6:40" ht="15.75">
      <c r="F59" s="28"/>
      <c r="G59" s="28"/>
      <c r="U59" s="212">
        <f>'№1'!G46</f>
        <v>2507481.2349999994</v>
      </c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</row>
    <row r="60" spans="21:40" ht="15.75">
      <c r="U60" s="212">
        <f>U59-U58</f>
        <v>-0.013999999966472387</v>
      </c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</row>
    <row r="61" spans="21:40" ht="15.75">
      <c r="U61" s="212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</row>
    <row r="62" spans="21:40" ht="15.75">
      <c r="U62" s="212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</row>
    <row r="63" spans="21:40" ht="15.75">
      <c r="U63" s="212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</row>
    <row r="64" spans="21:40" ht="15.75">
      <c r="U64" s="212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</row>
    <row r="65" spans="21:40" ht="15.75">
      <c r="U65" s="212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</row>
    <row r="66" spans="21:40" ht="15.75">
      <c r="U66" s="212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</row>
    <row r="67" spans="21:40" ht="15.75">
      <c r="U67" s="212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</row>
    <row r="68" spans="21:40" ht="15.75">
      <c r="U68" s="212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</row>
    <row r="69" spans="21:40" ht="15.75">
      <c r="U69" s="212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</row>
    <row r="70" spans="21:40" ht="15.75">
      <c r="U70" s="212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</row>
    <row r="71" spans="21:40" ht="15.75">
      <c r="U71" s="212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21:40" ht="15.75">
      <c r="U72" s="212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</row>
    <row r="73" spans="21:40" ht="15.75">
      <c r="U73" s="212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</row>
    <row r="74" spans="21:40" ht="15.75">
      <c r="U74" s="212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21:40" ht="15.75">
      <c r="U75" s="212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</row>
    <row r="76" spans="21:40" ht="15.75">
      <c r="U76" s="212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</row>
    <row r="77" spans="2:40" ht="15.75">
      <c r="B77" s="3" t="s">
        <v>236</v>
      </c>
      <c r="U77" s="212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</row>
    <row r="78" spans="21:40" ht="15.75">
      <c r="U78" s="212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</row>
    <row r="79" spans="21:40" ht="15.75">
      <c r="U79" s="212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</row>
    <row r="80" spans="21:40" ht="15.75">
      <c r="U80" s="212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</row>
    <row r="81" spans="21:40" ht="15.75">
      <c r="U81" s="212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</row>
    <row r="82" spans="21:40" ht="15.75">
      <c r="U82" s="212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</row>
    <row r="83" spans="21:40" ht="15.75">
      <c r="U83" s="212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</row>
    <row r="84" spans="21:40" ht="15.75">
      <c r="U84" s="212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</row>
    <row r="85" spans="21:40" ht="15.75">
      <c r="U85" s="212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</row>
    <row r="86" spans="21:40" ht="15.75">
      <c r="U86" s="212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</row>
    <row r="87" spans="21:40" ht="15.75">
      <c r="U87" s="212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</row>
    <row r="88" spans="21:40" ht="15.75">
      <c r="U88" s="212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</row>
    <row r="89" spans="21:40" ht="15.75">
      <c r="U89" s="212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</row>
    <row r="90" spans="21:40" ht="15.75">
      <c r="U90" s="212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</row>
    <row r="91" spans="21:40" ht="15.75">
      <c r="U91" s="212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</row>
    <row r="92" spans="21:40" ht="15.75">
      <c r="U92" s="212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</row>
    <row r="93" spans="21:40" ht="15.75">
      <c r="U93" s="212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</row>
    <row r="94" spans="21:40" ht="15.75">
      <c r="U94" s="212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</row>
    <row r="95" spans="21:40" ht="15.75">
      <c r="U95" s="212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</row>
    <row r="96" spans="21:40" ht="15.75">
      <c r="U96" s="212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</row>
    <row r="97" spans="21:40" ht="15.75">
      <c r="U97" s="212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</row>
    <row r="98" spans="21:40" ht="15.75">
      <c r="U98" s="212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</row>
    <row r="99" spans="21:40" ht="15.75">
      <c r="U99" s="212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</row>
    <row r="100" spans="21:40" ht="15.75">
      <c r="U100" s="212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</row>
    <row r="101" spans="21:40" ht="15.75">
      <c r="U101" s="212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</row>
    <row r="102" spans="21:40" ht="15.75">
      <c r="U102" s="212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</row>
    <row r="103" spans="21:40" ht="15.75">
      <c r="U103" s="212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</row>
    <row r="104" spans="21:40" ht="15.75">
      <c r="U104" s="212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</row>
    <row r="105" spans="21:40" ht="15.75">
      <c r="U105" s="212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</row>
    <row r="106" spans="21:40" ht="15.75">
      <c r="U106" s="212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</row>
    <row r="107" spans="21:40" ht="15.75">
      <c r="U107" s="212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</row>
    <row r="108" spans="21:40" ht="15.75">
      <c r="U108" s="212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</row>
    <row r="109" spans="21:40" ht="15.75">
      <c r="U109" s="212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</row>
    <row r="110" spans="21:40" ht="15.75">
      <c r="U110" s="212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21:40" ht="15.75">
      <c r="U111" s="212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</row>
    <row r="112" spans="21:40" ht="15.75">
      <c r="U112" s="212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</row>
    <row r="113" spans="21:40" ht="15.75">
      <c r="U113" s="212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21:40" ht="15.75">
      <c r="U114" s="212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</row>
    <row r="115" spans="21:40" ht="15.75">
      <c r="U115" s="212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</row>
    <row r="116" spans="21:40" ht="15.75">
      <c r="U116" s="212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</row>
    <row r="117" spans="21:40" ht="15.75">
      <c r="U117" s="212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</row>
    <row r="118" spans="21:40" ht="15.75">
      <c r="U118" s="212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</row>
    <row r="119" spans="21:40" ht="15.75">
      <c r="U119" s="212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</row>
    <row r="120" spans="21:40" ht="15.75">
      <c r="U120" s="212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</row>
    <row r="121" spans="21:40" ht="15.75">
      <c r="U121" s="212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</row>
    <row r="122" spans="21:40" ht="15.75">
      <c r="U122" s="212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</row>
    <row r="123" spans="21:40" ht="15.75">
      <c r="U123" s="212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</row>
    <row r="124" spans="21:40" ht="15.75">
      <c r="U124" s="212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</row>
    <row r="125" spans="21:40" ht="15.75">
      <c r="U125" s="212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</row>
    <row r="126" spans="21:40" ht="15.75">
      <c r="U126" s="212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</row>
    <row r="127" spans="21:40" ht="15.75">
      <c r="U127" s="212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</row>
    <row r="128" spans="21:40" ht="15.75">
      <c r="U128" s="212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</row>
    <row r="129" spans="21:40" ht="15.75">
      <c r="U129" s="212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</row>
    <row r="130" spans="21:40" ht="15.75">
      <c r="U130" s="212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</row>
    <row r="131" spans="21:40" ht="15.75">
      <c r="U131" s="212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</row>
    <row r="132" spans="21:40" ht="15.75">
      <c r="U132" s="212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</row>
    <row r="133" spans="21:40" ht="15.75">
      <c r="U133" s="212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</row>
    <row r="134" spans="21:40" ht="15.75">
      <c r="U134" s="212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</row>
    <row r="135" spans="21:40" ht="15.75">
      <c r="U135" s="212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</row>
    <row r="136" spans="21:40" ht="15.75">
      <c r="U136" s="212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</row>
    <row r="137" spans="21:40" ht="15.75">
      <c r="U137" s="212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</row>
    <row r="138" spans="21:40" ht="15.75">
      <c r="U138" s="212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</row>
    <row r="139" spans="21:40" ht="15.75">
      <c r="U139" s="212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</row>
    <row r="140" spans="21:40" ht="15.75">
      <c r="U140" s="212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</row>
    <row r="141" spans="21:40" ht="15.75">
      <c r="U141" s="212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</row>
    <row r="142" spans="21:40" ht="15.75">
      <c r="U142" s="212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</row>
    <row r="143" spans="21:40" ht="15.75">
      <c r="U143" s="212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</row>
    <row r="144" spans="21:40" ht="15.75">
      <c r="U144" s="212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</row>
    <row r="145" spans="21:40" ht="15.75">
      <c r="U145" s="212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</row>
    <row r="146" spans="21:40" ht="15.75">
      <c r="U146" s="212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</row>
    <row r="147" spans="21:40" ht="15.75">
      <c r="U147" s="212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</row>
    <row r="148" spans="21:40" ht="15.75">
      <c r="U148" s="212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</row>
    <row r="149" spans="21:40" ht="15.75">
      <c r="U149" s="212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21:40" ht="15.75">
      <c r="U150" s="212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</row>
    <row r="151" spans="21:40" ht="15.75">
      <c r="U151" s="212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</row>
    <row r="152" spans="21:40" ht="15.75">
      <c r="U152" s="212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21:40" ht="15.75">
      <c r="U153" s="212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</row>
    <row r="154" spans="21:40" ht="15.75">
      <c r="U154" s="212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</row>
    <row r="155" spans="21:40" ht="15.75">
      <c r="U155" s="212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</row>
    <row r="156" spans="21:40" ht="15.75">
      <c r="U156" s="212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</row>
    <row r="157" spans="21:40" ht="15.75">
      <c r="U157" s="212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</row>
    <row r="158" spans="21:40" ht="15.75">
      <c r="U158" s="212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</row>
    <row r="159" spans="21:40" ht="15.75">
      <c r="U159" s="212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</row>
    <row r="160" spans="21:40" ht="15.75">
      <c r="U160" s="212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</row>
    <row r="161" spans="21:40" ht="15.75">
      <c r="U161" s="212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</row>
    <row r="162" spans="21:40" ht="15.75">
      <c r="U162" s="212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</row>
    <row r="163" spans="21:40" ht="15.75">
      <c r="U163" s="212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</row>
    <row r="164" spans="21:40" ht="15.75">
      <c r="U164" s="212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</row>
    <row r="165" spans="21:40" ht="15.75">
      <c r="U165" s="212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</row>
    <row r="166" spans="21:40" ht="15.75">
      <c r="U166" s="212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</row>
    <row r="167" spans="21:40" ht="15.75">
      <c r="U167" s="212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</row>
    <row r="168" spans="21:40" ht="15.75">
      <c r="U168" s="212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</row>
    <row r="169" spans="21:40" ht="15.75">
      <c r="U169" s="212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</row>
    <row r="170" spans="21:40" ht="15.75">
      <c r="U170" s="212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</row>
    <row r="171" spans="21:40" ht="15.75">
      <c r="U171" s="212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</row>
    <row r="172" spans="21:40" ht="15.75">
      <c r="U172" s="212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</row>
    <row r="173" spans="21:40" ht="15.75">
      <c r="U173" s="212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</row>
    <row r="174" spans="21:40" ht="15.75">
      <c r="U174" s="212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</row>
    <row r="175" spans="21:40" ht="15.75">
      <c r="U175" s="212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</row>
    <row r="176" spans="21:40" ht="15.75">
      <c r="U176" s="212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</row>
    <row r="177" spans="21:40" ht="15.75">
      <c r="U177" s="212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</row>
    <row r="178" spans="21:40" ht="15.75">
      <c r="U178" s="212"/>
      <c r="V178" s="205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</row>
    <row r="179" spans="21:40" ht="15.75">
      <c r="U179" s="212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</row>
    <row r="180" spans="21:40" ht="15.75">
      <c r="U180" s="212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</row>
    <row r="181" spans="21:40" ht="15.75">
      <c r="U181" s="212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</row>
    <row r="182" spans="21:40" ht="15.75">
      <c r="U182" s="212"/>
      <c r="V182" s="205"/>
      <c r="W182" s="205"/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</row>
    <row r="183" spans="21:40" ht="15.75">
      <c r="U183" s="212"/>
      <c r="V183" s="205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</row>
    <row r="184" spans="21:40" ht="15.75">
      <c r="U184" s="212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</row>
    <row r="185" spans="21:40" ht="15.75">
      <c r="U185" s="212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</row>
  </sheetData>
  <mergeCells count="24">
    <mergeCell ref="A6:A9"/>
    <mergeCell ref="B7:B9"/>
    <mergeCell ref="C7:C9"/>
    <mergeCell ref="D7:D9"/>
    <mergeCell ref="B6:P6"/>
    <mergeCell ref="P7:P9"/>
    <mergeCell ref="M7:M9"/>
    <mergeCell ref="N7:N9"/>
    <mergeCell ref="O7:O9"/>
    <mergeCell ref="B4:L4"/>
    <mergeCell ref="E7:E9"/>
    <mergeCell ref="F7:K7"/>
    <mergeCell ref="L7:L9"/>
    <mergeCell ref="K8:K9"/>
    <mergeCell ref="F8:F9"/>
    <mergeCell ref="G8:G9"/>
    <mergeCell ref="H8:H9"/>
    <mergeCell ref="I8:J8"/>
    <mergeCell ref="U6:U9"/>
    <mergeCell ref="Q7:Q9"/>
    <mergeCell ref="R7:R9"/>
    <mergeCell ref="S7:S9"/>
    <mergeCell ref="Q6:S6"/>
    <mergeCell ref="T6:T9"/>
  </mergeCells>
  <printOptions/>
  <pageMargins left="0.7874015748031497" right="0.7874015748031497" top="1.1811023622047245" bottom="0.3937007874015748" header="0" footer="0"/>
  <pageSetup fitToWidth="2" fitToHeight="1" horizontalDpi="600" verticalDpi="600" orientation="landscape" paperSize="9" scale="44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zoomScale="70" zoomScaleNormal="70" zoomScaleSheetLayoutView="10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1" sqref="B51"/>
    </sheetView>
  </sheetViews>
  <sheetFormatPr defaultColWidth="9.00390625" defaultRowHeight="12.75"/>
  <cols>
    <col min="1" max="1" width="24.625" style="300" customWidth="1"/>
    <col min="2" max="2" width="13.75390625" style="300" customWidth="1"/>
    <col min="3" max="3" width="17.00390625" style="300" customWidth="1"/>
    <col min="4" max="4" width="17.625" style="300" customWidth="1"/>
    <col min="5" max="5" width="14.875" style="300" customWidth="1"/>
    <col min="6" max="6" width="16.00390625" style="300" customWidth="1"/>
    <col min="7" max="7" width="18.875" style="300" customWidth="1"/>
    <col min="8" max="8" width="18.875" style="206" customWidth="1"/>
    <col min="9" max="11" width="18.875" style="300" customWidth="1"/>
    <col min="12" max="12" width="11.625" style="300" customWidth="1"/>
    <col min="13" max="13" width="19.25390625" style="300" customWidth="1"/>
    <col min="14" max="14" width="17.75390625" style="300" customWidth="1"/>
    <col min="15" max="15" width="13.25390625" style="300" customWidth="1"/>
    <col min="16" max="16" width="17.75390625" style="300" hidden="1" customWidth="1"/>
    <col min="17" max="17" width="12.75390625" style="300" customWidth="1"/>
    <col min="18" max="18" width="17.75390625" style="300" customWidth="1"/>
    <col min="19" max="19" width="10.875" style="300" customWidth="1"/>
    <col min="20" max="20" width="15.25390625" style="300" hidden="1" customWidth="1"/>
    <col min="21" max="21" width="4.875" style="300" hidden="1" customWidth="1"/>
    <col min="22" max="22" width="14.00390625" style="300" hidden="1" customWidth="1"/>
    <col min="23" max="16384" width="8.875" style="300" customWidth="1"/>
  </cols>
  <sheetData>
    <row r="1" spans="4:23" ht="13.5" customHeight="1">
      <c r="D1" s="339"/>
      <c r="E1" s="339"/>
      <c r="F1" s="339"/>
      <c r="G1" s="339"/>
      <c r="H1" s="339"/>
      <c r="I1" s="339"/>
      <c r="J1" s="339" t="s">
        <v>177</v>
      </c>
      <c r="K1" s="339"/>
      <c r="L1" s="339"/>
      <c r="M1" s="339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4:23" ht="15.75">
      <c r="D2" s="339"/>
      <c r="E2" s="339"/>
      <c r="F2" s="339"/>
      <c r="G2" s="339"/>
      <c r="H2" s="339"/>
      <c r="I2" s="339"/>
      <c r="J2" s="339" t="s">
        <v>199</v>
      </c>
      <c r="K2" s="339"/>
      <c r="L2" s="339"/>
      <c r="M2" s="339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4" ht="26.25" customHeight="1">
      <c r="A3" s="450" t="s">
        <v>178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  <c r="X3" s="302"/>
    </row>
    <row r="4" ht="16.5" thickBot="1">
      <c r="V4" s="303"/>
    </row>
    <row r="5" spans="1:24" ht="189">
      <c r="A5" s="329" t="s">
        <v>115</v>
      </c>
      <c r="B5" s="330" t="s">
        <v>179</v>
      </c>
      <c r="C5" s="329" t="s">
        <v>314</v>
      </c>
      <c r="D5" s="329" t="s">
        <v>389</v>
      </c>
      <c r="E5" s="329" t="s">
        <v>390</v>
      </c>
      <c r="F5" s="329" t="s">
        <v>398</v>
      </c>
      <c r="G5" s="329" t="s">
        <v>443</v>
      </c>
      <c r="H5" s="329" t="s">
        <v>413</v>
      </c>
      <c r="I5" s="329" t="s">
        <v>414</v>
      </c>
      <c r="J5" s="329" t="s">
        <v>434</v>
      </c>
      <c r="K5" s="329" t="s">
        <v>439</v>
      </c>
      <c r="L5" s="331" t="s">
        <v>180</v>
      </c>
      <c r="M5" s="270"/>
      <c r="N5" s="270"/>
      <c r="O5" s="304"/>
      <c r="P5" s="305"/>
      <c r="Q5" s="304"/>
      <c r="R5" s="306"/>
      <c r="S5" s="270"/>
      <c r="T5" s="307"/>
      <c r="U5" s="308"/>
      <c r="V5" s="309"/>
      <c r="W5" s="449"/>
      <c r="X5" s="449"/>
    </row>
    <row r="6" spans="1:22" ht="15.75">
      <c r="A6" s="332" t="s">
        <v>130</v>
      </c>
      <c r="B6" s="238">
        <v>1633.2</v>
      </c>
      <c r="C6" s="333"/>
      <c r="D6" s="333"/>
      <c r="E6" s="333"/>
      <c r="F6" s="333"/>
      <c r="G6" s="333">
        <v>3.8</v>
      </c>
      <c r="H6" s="335">
        <v>8</v>
      </c>
      <c r="I6" s="333"/>
      <c r="J6" s="333"/>
      <c r="K6" s="333"/>
      <c r="L6" s="333">
        <f>B6+C6+D6+E6+F6+G6+H6+I6+J6+K6</f>
        <v>1645</v>
      </c>
      <c r="M6" s="215"/>
      <c r="N6" s="215"/>
      <c r="O6" s="215"/>
      <c r="P6" s="215"/>
      <c r="Q6" s="215"/>
      <c r="R6" s="216"/>
      <c r="S6" s="215"/>
      <c r="T6" s="310"/>
      <c r="U6" s="214"/>
      <c r="V6" s="217"/>
    </row>
    <row r="7" spans="1:22" ht="15.75">
      <c r="A7" s="334" t="s">
        <v>131</v>
      </c>
      <c r="B7" s="238"/>
      <c r="C7" s="333"/>
      <c r="D7" s="333"/>
      <c r="E7" s="333"/>
      <c r="F7" s="333"/>
      <c r="G7" s="333">
        <v>10.2</v>
      </c>
      <c r="H7" s="335">
        <v>124.5328</v>
      </c>
      <c r="I7" s="333"/>
      <c r="J7" s="333"/>
      <c r="K7" s="333">
        <v>120</v>
      </c>
      <c r="L7" s="333">
        <f aca="true" t="shared" si="0" ref="L7:L51">B7+C7+D7+E7+F7+G7+H7+I7+J7+K7</f>
        <v>254.7328</v>
      </c>
      <c r="M7" s="311"/>
      <c r="N7" s="311"/>
      <c r="O7" s="311"/>
      <c r="P7" s="311"/>
      <c r="Q7" s="311"/>
      <c r="R7" s="216"/>
      <c r="S7" s="311"/>
      <c r="T7" s="310"/>
      <c r="U7" s="214"/>
      <c r="V7" s="227"/>
    </row>
    <row r="8" spans="1:22" ht="15.75">
      <c r="A8" s="334" t="s">
        <v>132</v>
      </c>
      <c r="B8" s="238">
        <v>1361</v>
      </c>
      <c r="C8" s="333"/>
      <c r="D8" s="333"/>
      <c r="E8" s="333"/>
      <c r="F8" s="333"/>
      <c r="G8" s="333">
        <v>23.4</v>
      </c>
      <c r="H8" s="335">
        <v>137.273</v>
      </c>
      <c r="I8" s="333"/>
      <c r="J8" s="333"/>
      <c r="K8" s="333">
        <v>120</v>
      </c>
      <c r="L8" s="333">
        <f t="shared" si="0"/>
        <v>1641.673</v>
      </c>
      <c r="M8" s="218"/>
      <c r="N8" s="218"/>
      <c r="O8" s="215"/>
      <c r="P8" s="215"/>
      <c r="Q8" s="215"/>
      <c r="R8" s="216"/>
      <c r="S8" s="215"/>
      <c r="T8" s="310"/>
      <c r="U8" s="214"/>
      <c r="V8" s="217"/>
    </row>
    <row r="9" spans="1:22" ht="15.75">
      <c r="A9" s="334" t="s">
        <v>133</v>
      </c>
      <c r="B9" s="238"/>
      <c r="C9" s="333"/>
      <c r="D9" s="333"/>
      <c r="E9" s="333">
        <v>230</v>
      </c>
      <c r="F9" s="333"/>
      <c r="G9" s="333">
        <v>5.5</v>
      </c>
      <c r="H9" s="335">
        <v>30.737</v>
      </c>
      <c r="I9" s="333"/>
      <c r="J9" s="333"/>
      <c r="K9" s="333"/>
      <c r="L9" s="333">
        <f t="shared" si="0"/>
        <v>266.237</v>
      </c>
      <c r="M9" s="311"/>
      <c r="N9" s="311"/>
      <c r="O9" s="311"/>
      <c r="P9" s="311"/>
      <c r="Q9" s="311"/>
      <c r="R9" s="216"/>
      <c r="S9" s="311"/>
      <c r="T9" s="310"/>
      <c r="U9" s="214"/>
      <c r="V9" s="227"/>
    </row>
    <row r="10" spans="1:22" ht="15" customHeight="1">
      <c r="A10" s="334" t="s">
        <v>134</v>
      </c>
      <c r="B10" s="238">
        <v>1497.1</v>
      </c>
      <c r="C10" s="333"/>
      <c r="D10" s="333"/>
      <c r="E10" s="333"/>
      <c r="F10" s="333"/>
      <c r="G10" s="333">
        <v>6.3</v>
      </c>
      <c r="H10" s="335">
        <v>78.621</v>
      </c>
      <c r="I10" s="333"/>
      <c r="J10" s="333"/>
      <c r="K10" s="333"/>
      <c r="L10" s="333">
        <f t="shared" si="0"/>
        <v>1582.021</v>
      </c>
      <c r="M10" s="218"/>
      <c r="N10" s="218"/>
      <c r="O10" s="215"/>
      <c r="P10" s="215"/>
      <c r="Q10" s="215"/>
      <c r="R10" s="216"/>
      <c r="S10" s="215"/>
      <c r="T10" s="310"/>
      <c r="U10" s="214"/>
      <c r="V10" s="217"/>
    </row>
    <row r="11" spans="1:22" ht="15.75">
      <c r="A11" s="334" t="s">
        <v>135</v>
      </c>
      <c r="B11" s="238"/>
      <c r="C11" s="333"/>
      <c r="D11" s="333"/>
      <c r="E11" s="333"/>
      <c r="F11" s="333"/>
      <c r="G11" s="333">
        <v>5.8</v>
      </c>
      <c r="H11" s="335"/>
      <c r="I11" s="333"/>
      <c r="J11" s="333"/>
      <c r="K11" s="333"/>
      <c r="L11" s="333">
        <f t="shared" si="0"/>
        <v>5.8</v>
      </c>
      <c r="M11" s="311"/>
      <c r="N11" s="311"/>
      <c r="O11" s="311"/>
      <c r="P11" s="311"/>
      <c r="Q11" s="311"/>
      <c r="R11" s="216"/>
      <c r="S11" s="311"/>
      <c r="T11" s="310"/>
      <c r="U11" s="214"/>
      <c r="V11" s="227"/>
    </row>
    <row r="12" spans="1:22" ht="15.75">
      <c r="A12" s="334" t="s">
        <v>136</v>
      </c>
      <c r="B12" s="238">
        <f>816.6+84.1</f>
        <v>900.7</v>
      </c>
      <c r="C12" s="333"/>
      <c r="D12" s="333"/>
      <c r="E12" s="333">
        <v>2000</v>
      </c>
      <c r="F12" s="333"/>
      <c r="G12" s="333">
        <v>7.3</v>
      </c>
      <c r="H12" s="335">
        <v>60.9156</v>
      </c>
      <c r="I12" s="333"/>
      <c r="J12" s="333"/>
      <c r="K12" s="333"/>
      <c r="L12" s="333">
        <f t="shared" si="0"/>
        <v>2968.9156</v>
      </c>
      <c r="M12" s="218"/>
      <c r="N12" s="218"/>
      <c r="O12" s="215"/>
      <c r="P12" s="215"/>
      <c r="Q12" s="215"/>
      <c r="R12" s="216"/>
      <c r="S12" s="215"/>
      <c r="T12" s="310"/>
      <c r="U12" s="214"/>
      <c r="V12" s="217"/>
    </row>
    <row r="13" spans="1:22" ht="15.75">
      <c r="A13" s="334" t="s">
        <v>137</v>
      </c>
      <c r="B13" s="238"/>
      <c r="C13" s="333"/>
      <c r="D13" s="333"/>
      <c r="E13" s="333"/>
      <c r="F13" s="333"/>
      <c r="G13" s="333">
        <v>2.6</v>
      </c>
      <c r="H13" s="335">
        <v>62.484</v>
      </c>
      <c r="I13" s="333"/>
      <c r="J13" s="333"/>
      <c r="K13" s="333"/>
      <c r="L13" s="333">
        <f t="shared" si="0"/>
        <v>65.084</v>
      </c>
      <c r="M13" s="311"/>
      <c r="N13" s="311"/>
      <c r="O13" s="311"/>
      <c r="P13" s="311"/>
      <c r="Q13" s="311"/>
      <c r="R13" s="216"/>
      <c r="S13" s="311"/>
      <c r="T13" s="310"/>
      <c r="U13" s="214"/>
      <c r="V13" s="227"/>
    </row>
    <row r="14" spans="1:22" ht="15" customHeight="1">
      <c r="A14" s="334" t="s">
        <v>138</v>
      </c>
      <c r="B14" s="238">
        <v>2722</v>
      </c>
      <c r="C14" s="333"/>
      <c r="D14" s="333">
        <v>5000</v>
      </c>
      <c r="E14" s="333">
        <f>2000+205-205</f>
        <v>2000</v>
      </c>
      <c r="F14" s="333"/>
      <c r="G14" s="333">
        <v>87.7</v>
      </c>
      <c r="H14" s="335">
        <v>78.827</v>
      </c>
      <c r="I14" s="333"/>
      <c r="J14" s="333"/>
      <c r="K14" s="333">
        <v>840</v>
      </c>
      <c r="L14" s="333">
        <f t="shared" si="0"/>
        <v>10728.527</v>
      </c>
      <c r="M14" s="218"/>
      <c r="N14" s="218"/>
      <c r="O14" s="215"/>
      <c r="P14" s="215"/>
      <c r="Q14" s="215"/>
      <c r="R14" s="216"/>
      <c r="S14" s="215"/>
      <c r="T14" s="310"/>
      <c r="U14" s="214"/>
      <c r="V14" s="217"/>
    </row>
    <row r="15" spans="1:22" ht="15.75">
      <c r="A15" s="334" t="s">
        <v>139</v>
      </c>
      <c r="B15" s="238"/>
      <c r="C15" s="333"/>
      <c r="D15" s="333"/>
      <c r="E15" s="333"/>
      <c r="F15" s="333"/>
      <c r="G15" s="333">
        <v>6.8</v>
      </c>
      <c r="H15" s="335">
        <v>64</v>
      </c>
      <c r="I15" s="333"/>
      <c r="J15" s="333"/>
      <c r="K15" s="333"/>
      <c r="L15" s="333">
        <f t="shared" si="0"/>
        <v>70.8</v>
      </c>
      <c r="M15" s="311"/>
      <c r="N15" s="311"/>
      <c r="O15" s="311"/>
      <c r="P15" s="311"/>
      <c r="Q15" s="311"/>
      <c r="R15" s="216"/>
      <c r="S15" s="311"/>
      <c r="T15" s="310"/>
      <c r="U15" s="214"/>
      <c r="V15" s="227"/>
    </row>
    <row r="16" spans="1:22" ht="15.75">
      <c r="A16" s="334" t="s">
        <v>140</v>
      </c>
      <c r="B16" s="238">
        <v>1088.8</v>
      </c>
      <c r="C16" s="333"/>
      <c r="D16" s="333"/>
      <c r="E16" s="333"/>
      <c r="F16" s="333"/>
      <c r="G16" s="333">
        <v>11.5</v>
      </c>
      <c r="H16" s="335"/>
      <c r="I16" s="333"/>
      <c r="J16" s="333"/>
      <c r="K16" s="333"/>
      <c r="L16" s="333">
        <f t="shared" si="0"/>
        <v>1100.3</v>
      </c>
      <c r="M16" s="218"/>
      <c r="N16" s="218"/>
      <c r="O16" s="215"/>
      <c r="P16" s="215"/>
      <c r="Q16" s="215"/>
      <c r="R16" s="216"/>
      <c r="S16" s="215"/>
      <c r="T16" s="310"/>
      <c r="U16" s="214"/>
      <c r="V16" s="217"/>
    </row>
    <row r="17" spans="1:22" ht="15.75">
      <c r="A17" s="334" t="s">
        <v>141</v>
      </c>
      <c r="B17" s="238"/>
      <c r="C17" s="333"/>
      <c r="D17" s="333"/>
      <c r="E17" s="333"/>
      <c r="F17" s="333"/>
      <c r="G17" s="333">
        <v>1.4</v>
      </c>
      <c r="H17" s="335">
        <v>7.9</v>
      </c>
      <c r="I17" s="333"/>
      <c r="J17" s="333"/>
      <c r="K17" s="333"/>
      <c r="L17" s="333">
        <f t="shared" si="0"/>
        <v>9.3</v>
      </c>
      <c r="M17" s="311"/>
      <c r="N17" s="311"/>
      <c r="O17" s="311"/>
      <c r="P17" s="311"/>
      <c r="Q17" s="311"/>
      <c r="R17" s="216"/>
      <c r="S17" s="311"/>
      <c r="T17" s="310"/>
      <c r="U17" s="214"/>
      <c r="V17" s="227"/>
    </row>
    <row r="18" spans="1:22" ht="15.75">
      <c r="A18" s="334" t="s">
        <v>142</v>
      </c>
      <c r="B18" s="238"/>
      <c r="C18" s="333"/>
      <c r="D18" s="333"/>
      <c r="E18" s="333"/>
      <c r="F18" s="333"/>
      <c r="G18" s="333">
        <v>2.8</v>
      </c>
      <c r="H18" s="335">
        <v>62.949</v>
      </c>
      <c r="I18" s="333"/>
      <c r="J18" s="333"/>
      <c r="K18" s="333"/>
      <c r="L18" s="333">
        <f t="shared" si="0"/>
        <v>65.749</v>
      </c>
      <c r="M18" s="311"/>
      <c r="N18" s="311"/>
      <c r="O18" s="311"/>
      <c r="P18" s="311"/>
      <c r="Q18" s="311"/>
      <c r="R18" s="216"/>
      <c r="S18" s="311"/>
      <c r="T18" s="312"/>
      <c r="U18" s="214"/>
      <c r="V18" s="227"/>
    </row>
    <row r="19" spans="1:22" ht="15.75">
      <c r="A19" s="334" t="s">
        <v>143</v>
      </c>
      <c r="B19" s="238"/>
      <c r="C19" s="335"/>
      <c r="D19" s="335"/>
      <c r="E19" s="335"/>
      <c r="F19" s="335"/>
      <c r="G19" s="335">
        <v>8.1</v>
      </c>
      <c r="H19" s="335">
        <v>24</v>
      </c>
      <c r="I19" s="335"/>
      <c r="J19" s="335"/>
      <c r="K19" s="335"/>
      <c r="L19" s="333">
        <f t="shared" si="0"/>
        <v>32.1</v>
      </c>
      <c r="M19" s="216"/>
      <c r="N19" s="216"/>
      <c r="O19" s="216"/>
      <c r="P19" s="216"/>
      <c r="Q19" s="216"/>
      <c r="R19" s="216"/>
      <c r="S19" s="216"/>
      <c r="T19" s="313"/>
      <c r="U19" s="282"/>
      <c r="V19" s="227"/>
    </row>
    <row r="20" spans="1:22" ht="15.75">
      <c r="A20" s="334" t="s">
        <v>144</v>
      </c>
      <c r="B20" s="238">
        <f>1224.9+48.9</f>
        <v>1273.8000000000002</v>
      </c>
      <c r="C20" s="335"/>
      <c r="D20" s="335"/>
      <c r="E20" s="335"/>
      <c r="F20" s="335"/>
      <c r="G20" s="335">
        <v>21</v>
      </c>
      <c r="H20" s="335">
        <v>99.268</v>
      </c>
      <c r="I20" s="335"/>
      <c r="J20" s="335"/>
      <c r="K20" s="335"/>
      <c r="L20" s="333">
        <f t="shared" si="0"/>
        <v>1394.0680000000002</v>
      </c>
      <c r="M20" s="215"/>
      <c r="N20" s="215"/>
      <c r="O20" s="215"/>
      <c r="P20" s="215"/>
      <c r="Q20" s="215"/>
      <c r="R20" s="216"/>
      <c r="S20" s="215"/>
      <c r="T20" s="313"/>
      <c r="U20" s="282"/>
      <c r="V20" s="217"/>
    </row>
    <row r="21" spans="1:22" ht="15.75">
      <c r="A21" s="334" t="s">
        <v>145</v>
      </c>
      <c r="B21" s="238"/>
      <c r="C21" s="335"/>
      <c r="D21" s="335"/>
      <c r="E21" s="335"/>
      <c r="F21" s="335"/>
      <c r="G21" s="335">
        <v>9.6</v>
      </c>
      <c r="H21" s="335"/>
      <c r="I21" s="335"/>
      <c r="J21" s="335"/>
      <c r="K21" s="335"/>
      <c r="L21" s="333">
        <f t="shared" si="0"/>
        <v>9.6</v>
      </c>
      <c r="M21" s="216"/>
      <c r="N21" s="216"/>
      <c r="O21" s="216"/>
      <c r="P21" s="216"/>
      <c r="Q21" s="216"/>
      <c r="R21" s="216"/>
      <c r="S21" s="216"/>
      <c r="T21" s="313"/>
      <c r="U21" s="282"/>
      <c r="V21" s="227"/>
    </row>
    <row r="22" spans="1:22" ht="15.75">
      <c r="A22" s="334" t="s">
        <v>146</v>
      </c>
      <c r="B22" s="238">
        <v>952.7</v>
      </c>
      <c r="C22" s="335"/>
      <c r="D22" s="335"/>
      <c r="E22" s="335">
        <v>150</v>
      </c>
      <c r="F22" s="335"/>
      <c r="G22" s="335">
        <v>5.1</v>
      </c>
      <c r="H22" s="335">
        <v>15.585</v>
      </c>
      <c r="I22" s="335"/>
      <c r="J22" s="335"/>
      <c r="K22" s="335"/>
      <c r="L22" s="333">
        <f t="shared" si="0"/>
        <v>1123.385</v>
      </c>
      <c r="M22" s="215"/>
      <c r="N22" s="215"/>
      <c r="O22" s="215"/>
      <c r="P22" s="215"/>
      <c r="Q22" s="215"/>
      <c r="R22" s="216"/>
      <c r="S22" s="215"/>
      <c r="T22" s="313"/>
      <c r="U22" s="282"/>
      <c r="V22" s="217"/>
    </row>
    <row r="23" spans="1:22" ht="15.75">
      <c r="A23" s="334" t="s">
        <v>147</v>
      </c>
      <c r="B23" s="238"/>
      <c r="C23" s="336"/>
      <c r="D23" s="336"/>
      <c r="E23" s="336"/>
      <c r="F23" s="336"/>
      <c r="G23" s="336">
        <v>33.9</v>
      </c>
      <c r="H23" s="219">
        <v>107.849</v>
      </c>
      <c r="I23" s="336"/>
      <c r="J23" s="336"/>
      <c r="K23" s="336">
        <v>120</v>
      </c>
      <c r="L23" s="333">
        <f t="shared" si="0"/>
        <v>261.749</v>
      </c>
      <c r="M23" s="315"/>
      <c r="N23" s="315"/>
      <c r="O23" s="315"/>
      <c r="P23" s="315"/>
      <c r="Q23" s="315"/>
      <c r="R23" s="316"/>
      <c r="S23" s="315"/>
      <c r="T23" s="317"/>
      <c r="U23" s="314"/>
      <c r="V23" s="227"/>
    </row>
    <row r="24" spans="1:22" ht="15.75">
      <c r="A24" s="334" t="s">
        <v>148</v>
      </c>
      <c r="B24" s="238"/>
      <c r="C24" s="219"/>
      <c r="D24" s="219"/>
      <c r="E24" s="219"/>
      <c r="F24" s="219"/>
      <c r="G24" s="219">
        <v>45.6</v>
      </c>
      <c r="H24" s="219"/>
      <c r="I24" s="219"/>
      <c r="J24" s="219"/>
      <c r="K24" s="219"/>
      <c r="L24" s="333">
        <f t="shared" si="0"/>
        <v>45.6</v>
      </c>
      <c r="M24" s="316"/>
      <c r="N24" s="316"/>
      <c r="O24" s="316"/>
      <c r="P24" s="316"/>
      <c r="Q24" s="316"/>
      <c r="R24" s="316"/>
      <c r="S24" s="316"/>
      <c r="T24" s="319"/>
      <c r="U24" s="318"/>
      <c r="V24" s="227"/>
    </row>
    <row r="25" spans="1:22" ht="15.75">
      <c r="A25" s="334" t="s">
        <v>149</v>
      </c>
      <c r="B25" s="238"/>
      <c r="C25" s="219"/>
      <c r="D25" s="219"/>
      <c r="E25" s="219"/>
      <c r="F25" s="219"/>
      <c r="G25" s="219">
        <v>1.6</v>
      </c>
      <c r="H25" s="219">
        <v>141.6499</v>
      </c>
      <c r="I25" s="219"/>
      <c r="J25" s="219"/>
      <c r="K25" s="219"/>
      <c r="L25" s="333">
        <f t="shared" si="0"/>
        <v>143.2499</v>
      </c>
      <c r="M25" s="316"/>
      <c r="N25" s="316"/>
      <c r="O25" s="316"/>
      <c r="P25" s="316"/>
      <c r="Q25" s="316"/>
      <c r="R25" s="316"/>
      <c r="S25" s="316"/>
      <c r="T25" s="319"/>
      <c r="U25" s="318"/>
      <c r="V25" s="227"/>
    </row>
    <row r="26" spans="1:22" ht="15.75">
      <c r="A26" s="334" t="s">
        <v>150</v>
      </c>
      <c r="B26" s="238"/>
      <c r="C26" s="219"/>
      <c r="D26" s="219"/>
      <c r="E26" s="219"/>
      <c r="F26" s="219"/>
      <c r="G26" s="219">
        <v>4.9</v>
      </c>
      <c r="H26" s="219">
        <v>24</v>
      </c>
      <c r="I26" s="219"/>
      <c r="J26" s="219"/>
      <c r="K26" s="219"/>
      <c r="L26" s="333">
        <f t="shared" si="0"/>
        <v>28.9</v>
      </c>
      <c r="M26" s="316"/>
      <c r="N26" s="316"/>
      <c r="O26" s="316"/>
      <c r="P26" s="316"/>
      <c r="Q26" s="316"/>
      <c r="R26" s="316"/>
      <c r="S26" s="316"/>
      <c r="T26" s="319"/>
      <c r="U26" s="318"/>
      <c r="V26" s="227"/>
    </row>
    <row r="27" spans="1:22" ht="15.75">
      <c r="A27" s="334" t="s">
        <v>151</v>
      </c>
      <c r="B27" s="238">
        <v>1361</v>
      </c>
      <c r="C27" s="219"/>
      <c r="D27" s="219"/>
      <c r="E27" s="219"/>
      <c r="F27" s="219"/>
      <c r="G27" s="219">
        <v>13.8</v>
      </c>
      <c r="H27" s="219">
        <v>79.999</v>
      </c>
      <c r="I27" s="219"/>
      <c r="J27" s="219"/>
      <c r="K27" s="219"/>
      <c r="L27" s="333">
        <f t="shared" si="0"/>
        <v>1454.799</v>
      </c>
      <c r="M27" s="220"/>
      <c r="N27" s="220"/>
      <c r="O27" s="215"/>
      <c r="P27" s="215"/>
      <c r="Q27" s="215"/>
      <c r="R27" s="216"/>
      <c r="S27" s="215"/>
      <c r="T27" s="320"/>
      <c r="U27" s="318"/>
      <c r="V27" s="217"/>
    </row>
    <row r="28" spans="1:22" ht="15.75">
      <c r="A28" s="334" t="s">
        <v>152</v>
      </c>
      <c r="B28" s="238"/>
      <c r="C28" s="201"/>
      <c r="D28" s="201"/>
      <c r="E28" s="201"/>
      <c r="F28" s="201"/>
      <c r="G28" s="201">
        <v>6.7</v>
      </c>
      <c r="H28" s="201">
        <v>29.682</v>
      </c>
      <c r="I28" s="201"/>
      <c r="J28" s="201"/>
      <c r="K28" s="201"/>
      <c r="L28" s="333">
        <f t="shared" si="0"/>
        <v>36.382</v>
      </c>
      <c r="M28" s="297"/>
      <c r="N28" s="297"/>
      <c r="O28" s="297"/>
      <c r="P28" s="297"/>
      <c r="Q28" s="297"/>
      <c r="R28" s="297"/>
      <c r="S28" s="297"/>
      <c r="T28" s="321"/>
      <c r="U28" s="322"/>
      <c r="V28" s="227"/>
    </row>
    <row r="29" spans="1:22" ht="15.75">
      <c r="A29" s="334" t="s">
        <v>153</v>
      </c>
      <c r="B29" s="238"/>
      <c r="C29" s="323"/>
      <c r="D29" s="323"/>
      <c r="E29" s="323"/>
      <c r="F29" s="323"/>
      <c r="G29" s="223">
        <v>7.5</v>
      </c>
      <c r="H29" s="201">
        <v>17.594</v>
      </c>
      <c r="I29" s="223"/>
      <c r="J29" s="223"/>
      <c r="K29" s="223"/>
      <c r="L29" s="333">
        <f t="shared" si="0"/>
        <v>25.094</v>
      </c>
      <c r="M29" s="228"/>
      <c r="N29" s="228"/>
      <c r="O29" s="228"/>
      <c r="P29" s="228"/>
      <c r="Q29" s="228"/>
      <c r="R29" s="229"/>
      <c r="S29" s="228"/>
      <c r="T29" s="324"/>
      <c r="U29" s="325"/>
      <c r="V29" s="227"/>
    </row>
    <row r="30" spans="1:22" ht="15.75">
      <c r="A30" s="334" t="s">
        <v>154</v>
      </c>
      <c r="B30" s="238"/>
      <c r="C30" s="223"/>
      <c r="D30" s="223"/>
      <c r="E30" s="223"/>
      <c r="F30" s="223"/>
      <c r="G30" s="223">
        <v>2</v>
      </c>
      <c r="H30" s="201">
        <v>64.5396</v>
      </c>
      <c r="I30" s="223"/>
      <c r="J30" s="223"/>
      <c r="K30" s="223"/>
      <c r="L30" s="333">
        <f t="shared" si="0"/>
        <v>66.5396</v>
      </c>
      <c r="M30" s="296"/>
      <c r="N30" s="296"/>
      <c r="O30" s="296"/>
      <c r="P30" s="296"/>
      <c r="Q30" s="296"/>
      <c r="R30" s="297"/>
      <c r="S30" s="296"/>
      <c r="T30" s="298"/>
      <c r="U30" s="326"/>
      <c r="V30" s="227"/>
    </row>
    <row r="31" spans="1:22" ht="15.75">
      <c r="A31" s="334" t="s">
        <v>181</v>
      </c>
      <c r="B31" s="238">
        <f>680.5+68.7</f>
        <v>749.2</v>
      </c>
      <c r="C31" s="223"/>
      <c r="D31" s="223"/>
      <c r="E31" s="223"/>
      <c r="F31" s="223"/>
      <c r="G31" s="223">
        <v>12.2</v>
      </c>
      <c r="H31" s="201">
        <v>87.905</v>
      </c>
      <c r="I31" s="223"/>
      <c r="J31" s="223"/>
      <c r="K31" s="223"/>
      <c r="L31" s="333">
        <f t="shared" si="0"/>
        <v>849.3050000000001</v>
      </c>
      <c r="M31" s="224"/>
      <c r="N31" s="224"/>
      <c r="O31" s="215"/>
      <c r="P31" s="215"/>
      <c r="Q31" s="215"/>
      <c r="R31" s="216"/>
      <c r="S31" s="215"/>
      <c r="T31" s="298"/>
      <c r="U31" s="326"/>
      <c r="V31" s="217"/>
    </row>
    <row r="32" spans="1:22" ht="15.75">
      <c r="A32" s="334" t="s">
        <v>156</v>
      </c>
      <c r="B32" s="238">
        <f>680.5+101.3</f>
        <v>781.8</v>
      </c>
      <c r="C32" s="223"/>
      <c r="D32" s="223"/>
      <c r="E32" s="223"/>
      <c r="F32" s="223"/>
      <c r="G32" s="223">
        <v>6.9</v>
      </c>
      <c r="H32" s="201">
        <v>16</v>
      </c>
      <c r="I32" s="223"/>
      <c r="J32" s="223"/>
      <c r="K32" s="223"/>
      <c r="L32" s="333">
        <f t="shared" si="0"/>
        <v>804.6999999999999</v>
      </c>
      <c r="M32" s="224"/>
      <c r="N32" s="224"/>
      <c r="O32" s="215"/>
      <c r="P32" s="215"/>
      <c r="Q32" s="215"/>
      <c r="R32" s="216"/>
      <c r="S32" s="215"/>
      <c r="T32" s="298"/>
      <c r="U32" s="326"/>
      <c r="V32" s="217"/>
    </row>
    <row r="33" spans="1:22" ht="15.75">
      <c r="A33" s="334" t="s">
        <v>157</v>
      </c>
      <c r="B33" s="238"/>
      <c r="C33" s="223"/>
      <c r="D33" s="223"/>
      <c r="E33" s="223"/>
      <c r="F33" s="223"/>
      <c r="G33" s="223">
        <v>4.4</v>
      </c>
      <c r="H33" s="201">
        <v>8</v>
      </c>
      <c r="I33" s="223"/>
      <c r="J33" s="223"/>
      <c r="K33" s="223"/>
      <c r="L33" s="333">
        <f t="shared" si="0"/>
        <v>12.4</v>
      </c>
      <c r="M33" s="296"/>
      <c r="N33" s="296"/>
      <c r="O33" s="296"/>
      <c r="P33" s="296"/>
      <c r="Q33" s="296"/>
      <c r="R33" s="297"/>
      <c r="S33" s="296"/>
      <c r="T33" s="298"/>
      <c r="U33" s="326"/>
      <c r="V33" s="227"/>
    </row>
    <row r="34" spans="1:22" ht="15.75">
      <c r="A34" s="334" t="s">
        <v>158</v>
      </c>
      <c r="B34" s="355"/>
      <c r="C34" s="223"/>
      <c r="D34" s="223"/>
      <c r="E34" s="223"/>
      <c r="F34" s="223"/>
      <c r="G34" s="223">
        <v>2</v>
      </c>
      <c r="H34" s="201">
        <v>166.655</v>
      </c>
      <c r="I34" s="223">
        <v>30</v>
      </c>
      <c r="J34" s="223"/>
      <c r="K34" s="223"/>
      <c r="L34" s="333">
        <f t="shared" si="0"/>
        <v>198.655</v>
      </c>
      <c r="M34" s="296"/>
      <c r="N34" s="296"/>
      <c r="O34" s="296"/>
      <c r="P34" s="296"/>
      <c r="Q34" s="296"/>
      <c r="R34" s="297"/>
      <c r="S34" s="296"/>
      <c r="T34" s="298"/>
      <c r="U34" s="326"/>
      <c r="V34" s="227"/>
    </row>
    <row r="35" spans="1:22" ht="15.75">
      <c r="A35" s="334" t="s">
        <v>159</v>
      </c>
      <c r="B35" s="238"/>
      <c r="C35" s="223"/>
      <c r="D35" s="223"/>
      <c r="E35" s="223"/>
      <c r="F35" s="223">
        <v>98.6</v>
      </c>
      <c r="G35" s="223">
        <v>4.3</v>
      </c>
      <c r="H35" s="201">
        <v>31.948</v>
      </c>
      <c r="I35" s="223"/>
      <c r="J35" s="223"/>
      <c r="K35" s="223"/>
      <c r="L35" s="333">
        <f t="shared" si="0"/>
        <v>134.84799999999998</v>
      </c>
      <c r="M35" s="296"/>
      <c r="N35" s="296"/>
      <c r="O35" s="296"/>
      <c r="P35" s="296"/>
      <c r="Q35" s="296"/>
      <c r="R35" s="297"/>
      <c r="S35" s="296"/>
      <c r="T35" s="298"/>
      <c r="U35" s="326"/>
      <c r="V35" s="227"/>
    </row>
    <row r="36" spans="1:22" ht="15.75">
      <c r="A36" s="334" t="s">
        <v>160</v>
      </c>
      <c r="B36" s="238"/>
      <c r="C36" s="223"/>
      <c r="D36" s="223"/>
      <c r="E36" s="223"/>
      <c r="F36" s="223"/>
      <c r="G36" s="223">
        <v>3.9</v>
      </c>
      <c r="H36" s="201">
        <v>64.732</v>
      </c>
      <c r="I36" s="223"/>
      <c r="J36" s="223"/>
      <c r="K36" s="223"/>
      <c r="L36" s="333">
        <f t="shared" si="0"/>
        <v>68.632</v>
      </c>
      <c r="M36" s="296"/>
      <c r="N36" s="296"/>
      <c r="O36" s="296"/>
      <c r="P36" s="296"/>
      <c r="Q36" s="296"/>
      <c r="R36" s="297"/>
      <c r="S36" s="296"/>
      <c r="T36" s="298"/>
      <c r="U36" s="326"/>
      <c r="V36" s="227"/>
    </row>
    <row r="37" spans="1:22" ht="15.75">
      <c r="A37" s="334" t="s">
        <v>182</v>
      </c>
      <c r="B37" s="238">
        <v>1088.8</v>
      </c>
      <c r="C37" s="223"/>
      <c r="D37" s="223"/>
      <c r="E37" s="201">
        <f>250+208</f>
        <v>458</v>
      </c>
      <c r="F37" s="223"/>
      <c r="G37" s="223">
        <v>4.3</v>
      </c>
      <c r="H37" s="201"/>
      <c r="I37" s="223"/>
      <c r="J37" s="223"/>
      <c r="K37" s="223"/>
      <c r="L37" s="333">
        <f t="shared" si="0"/>
        <v>1551.1</v>
      </c>
      <c r="M37" s="224"/>
      <c r="N37" s="224"/>
      <c r="O37" s="215"/>
      <c r="P37" s="215"/>
      <c r="Q37" s="215"/>
      <c r="R37" s="216"/>
      <c r="S37" s="215"/>
      <c r="T37" s="298"/>
      <c r="U37" s="326"/>
      <c r="V37" s="217"/>
    </row>
    <row r="38" spans="1:22" ht="15.75">
      <c r="A38" s="334" t="s">
        <v>162</v>
      </c>
      <c r="B38" s="238"/>
      <c r="C38" s="223"/>
      <c r="D38" s="223"/>
      <c r="E38" s="201"/>
      <c r="F38" s="223"/>
      <c r="G38" s="223">
        <v>9.6</v>
      </c>
      <c r="H38" s="201">
        <v>127.336</v>
      </c>
      <c r="I38" s="223">
        <v>15</v>
      </c>
      <c r="J38" s="223"/>
      <c r="K38" s="223">
        <v>120</v>
      </c>
      <c r="L38" s="333">
        <f t="shared" si="0"/>
        <v>271.93600000000004</v>
      </c>
      <c r="M38" s="296"/>
      <c r="N38" s="296"/>
      <c r="O38" s="296"/>
      <c r="P38" s="296"/>
      <c r="Q38" s="296"/>
      <c r="R38" s="297"/>
      <c r="S38" s="296"/>
      <c r="T38" s="298"/>
      <c r="U38" s="326"/>
      <c r="V38" s="227"/>
    </row>
    <row r="39" spans="1:22" ht="15.75">
      <c r="A39" s="334" t="s">
        <v>163</v>
      </c>
      <c r="B39" s="238"/>
      <c r="C39" s="223"/>
      <c r="D39" s="223"/>
      <c r="E39" s="201"/>
      <c r="F39" s="223"/>
      <c r="G39" s="223">
        <v>3.5</v>
      </c>
      <c r="H39" s="201">
        <v>32</v>
      </c>
      <c r="I39" s="223">
        <v>58</v>
      </c>
      <c r="J39" s="223">
        <v>500</v>
      </c>
      <c r="K39" s="223"/>
      <c r="L39" s="333">
        <f t="shared" si="0"/>
        <v>593.5</v>
      </c>
      <c r="M39" s="296"/>
      <c r="N39" s="296"/>
      <c r="O39" s="296"/>
      <c r="P39" s="296"/>
      <c r="Q39" s="296"/>
      <c r="R39" s="297"/>
      <c r="S39" s="296"/>
      <c r="T39" s="298"/>
      <c r="U39" s="326"/>
      <c r="V39" s="227"/>
    </row>
    <row r="40" spans="1:22" ht="15.75">
      <c r="A40" s="334" t="s">
        <v>164</v>
      </c>
      <c r="B40" s="238"/>
      <c r="C40" s="223"/>
      <c r="D40" s="223"/>
      <c r="E40" s="201"/>
      <c r="F40" s="223"/>
      <c r="G40" s="223">
        <v>1.7</v>
      </c>
      <c r="H40" s="201">
        <v>48</v>
      </c>
      <c r="I40" s="223">
        <v>80</v>
      </c>
      <c r="J40" s="223"/>
      <c r="K40" s="223"/>
      <c r="L40" s="333">
        <f t="shared" si="0"/>
        <v>129.7</v>
      </c>
      <c r="M40" s="296"/>
      <c r="N40" s="296"/>
      <c r="O40" s="296"/>
      <c r="P40" s="296"/>
      <c r="Q40" s="296"/>
      <c r="R40" s="297"/>
      <c r="S40" s="296"/>
      <c r="T40" s="298"/>
      <c r="U40" s="326"/>
      <c r="V40" s="227"/>
    </row>
    <row r="41" spans="1:22" ht="15.75">
      <c r="A41" s="334" t="s">
        <v>165</v>
      </c>
      <c r="B41" s="238"/>
      <c r="C41" s="223"/>
      <c r="D41" s="223"/>
      <c r="E41" s="201"/>
      <c r="F41" s="223"/>
      <c r="G41" s="223">
        <v>2.4</v>
      </c>
      <c r="H41" s="201">
        <v>176</v>
      </c>
      <c r="I41" s="223"/>
      <c r="J41" s="223">
        <v>250</v>
      </c>
      <c r="K41" s="223"/>
      <c r="L41" s="333">
        <f t="shared" si="0"/>
        <v>428.4</v>
      </c>
      <c r="M41" s="296"/>
      <c r="N41" s="296"/>
      <c r="O41" s="296"/>
      <c r="P41" s="296"/>
      <c r="Q41" s="296"/>
      <c r="R41" s="297"/>
      <c r="S41" s="296"/>
      <c r="T41" s="298"/>
      <c r="U41" s="223"/>
      <c r="V41" s="299"/>
    </row>
    <row r="42" spans="1:22" ht="15.75">
      <c r="A42" s="334" t="s">
        <v>166</v>
      </c>
      <c r="B42" s="238"/>
      <c r="C42" s="223"/>
      <c r="D42" s="223"/>
      <c r="E42" s="201"/>
      <c r="F42" s="223"/>
      <c r="G42" s="223">
        <v>2.3</v>
      </c>
      <c r="H42" s="201">
        <v>126.7</v>
      </c>
      <c r="I42" s="223">
        <v>18</v>
      </c>
      <c r="J42" s="223"/>
      <c r="K42" s="223"/>
      <c r="L42" s="333">
        <f t="shared" si="0"/>
        <v>147</v>
      </c>
      <c r="M42" s="296"/>
      <c r="N42" s="296"/>
      <c r="O42" s="296"/>
      <c r="P42" s="296"/>
      <c r="Q42" s="296"/>
      <c r="R42" s="297"/>
      <c r="S42" s="296"/>
      <c r="T42" s="298"/>
      <c r="U42" s="223"/>
      <c r="V42" s="299"/>
    </row>
    <row r="43" spans="1:22" ht="15.75">
      <c r="A43" s="334" t="s">
        <v>167</v>
      </c>
      <c r="B43" s="238"/>
      <c r="C43" s="223"/>
      <c r="D43" s="223"/>
      <c r="E43" s="201"/>
      <c r="F43" s="223"/>
      <c r="G43" s="223">
        <v>9</v>
      </c>
      <c r="H43" s="201">
        <v>248</v>
      </c>
      <c r="I43" s="223"/>
      <c r="J43" s="223"/>
      <c r="K43" s="223"/>
      <c r="L43" s="333">
        <f t="shared" si="0"/>
        <v>257</v>
      </c>
      <c r="M43" s="296"/>
      <c r="N43" s="296"/>
      <c r="O43" s="296"/>
      <c r="P43" s="296"/>
      <c r="Q43" s="296"/>
      <c r="R43" s="297"/>
      <c r="S43" s="296"/>
      <c r="T43" s="298"/>
      <c r="U43" s="223"/>
      <c r="V43" s="299"/>
    </row>
    <row r="44" spans="1:22" ht="15.75">
      <c r="A44" s="334" t="s">
        <v>168</v>
      </c>
      <c r="B44" s="238"/>
      <c r="C44" s="223"/>
      <c r="D44" s="223"/>
      <c r="E44" s="201">
        <v>2000</v>
      </c>
      <c r="F44" s="223"/>
      <c r="G44" s="223">
        <v>4</v>
      </c>
      <c r="H44" s="201">
        <v>83.954</v>
      </c>
      <c r="I44" s="223">
        <v>50</v>
      </c>
      <c r="J44" s="223">
        <v>500</v>
      </c>
      <c r="K44" s="223"/>
      <c r="L44" s="333">
        <f t="shared" si="0"/>
        <v>2637.954</v>
      </c>
      <c r="M44" s="296"/>
      <c r="N44" s="296"/>
      <c r="O44" s="296"/>
      <c r="P44" s="296"/>
      <c r="Q44" s="296"/>
      <c r="R44" s="297"/>
      <c r="S44" s="296"/>
      <c r="T44" s="298"/>
      <c r="U44" s="223"/>
      <c r="V44" s="299"/>
    </row>
    <row r="45" spans="1:22" ht="15.75">
      <c r="A45" s="334" t="s">
        <v>169</v>
      </c>
      <c r="B45" s="238"/>
      <c r="C45" s="223"/>
      <c r="D45" s="223"/>
      <c r="E45" s="201">
        <v>110</v>
      </c>
      <c r="F45" s="223"/>
      <c r="G45" s="223">
        <v>2.6</v>
      </c>
      <c r="H45" s="201">
        <v>48</v>
      </c>
      <c r="I45" s="223"/>
      <c r="J45" s="223"/>
      <c r="K45" s="223"/>
      <c r="L45" s="333">
        <f t="shared" si="0"/>
        <v>160.6</v>
      </c>
      <c r="M45" s="224"/>
      <c r="N45" s="224"/>
      <c r="O45" s="215"/>
      <c r="P45" s="215"/>
      <c r="Q45" s="215"/>
      <c r="R45" s="216"/>
      <c r="S45" s="215"/>
      <c r="T45" s="298"/>
      <c r="U45" s="223"/>
      <c r="V45" s="225"/>
    </row>
    <row r="46" spans="1:22" ht="15.75">
      <c r="A46" s="334" t="s">
        <v>170</v>
      </c>
      <c r="B46" s="238"/>
      <c r="C46" s="223"/>
      <c r="D46" s="223"/>
      <c r="E46" s="201"/>
      <c r="F46" s="223"/>
      <c r="G46" s="223">
        <v>3.1</v>
      </c>
      <c r="H46" s="201">
        <v>247.052</v>
      </c>
      <c r="I46" s="223"/>
      <c r="J46" s="223"/>
      <c r="K46" s="223"/>
      <c r="L46" s="333">
        <f t="shared" si="0"/>
        <v>250.152</v>
      </c>
      <c r="M46" s="296"/>
      <c r="N46" s="296"/>
      <c r="O46" s="296"/>
      <c r="P46" s="296"/>
      <c r="Q46" s="296"/>
      <c r="R46" s="297"/>
      <c r="S46" s="296"/>
      <c r="T46" s="298"/>
      <c r="U46" s="223"/>
      <c r="V46" s="299"/>
    </row>
    <row r="47" spans="1:22" ht="15.75">
      <c r="A47" s="334" t="s">
        <v>171</v>
      </c>
      <c r="B47" s="238"/>
      <c r="C47" s="223"/>
      <c r="D47" s="223"/>
      <c r="E47" s="201"/>
      <c r="F47" s="223"/>
      <c r="G47" s="223">
        <v>5.9</v>
      </c>
      <c r="H47" s="201">
        <v>243.603</v>
      </c>
      <c r="I47" s="223">
        <v>10</v>
      </c>
      <c r="J47" s="223">
        <v>250</v>
      </c>
      <c r="K47" s="223">
        <v>120</v>
      </c>
      <c r="L47" s="333">
        <f t="shared" si="0"/>
        <v>629.503</v>
      </c>
      <c r="M47" s="296"/>
      <c r="N47" s="296"/>
      <c r="O47" s="296"/>
      <c r="P47" s="296"/>
      <c r="Q47" s="296"/>
      <c r="R47" s="297"/>
      <c r="S47" s="296"/>
      <c r="T47" s="298"/>
      <c r="U47" s="326"/>
      <c r="V47" s="227"/>
    </row>
    <row r="48" spans="1:22" ht="15.75">
      <c r="A48" s="334" t="s">
        <v>172</v>
      </c>
      <c r="B48" s="238"/>
      <c r="C48" s="223"/>
      <c r="D48" s="223"/>
      <c r="E48" s="201">
        <v>340</v>
      </c>
      <c r="F48" s="223"/>
      <c r="G48" s="223">
        <v>3</v>
      </c>
      <c r="H48" s="201">
        <v>164.965</v>
      </c>
      <c r="I48" s="223"/>
      <c r="J48" s="223">
        <v>250</v>
      </c>
      <c r="K48" s="223"/>
      <c r="L48" s="333">
        <f t="shared" si="0"/>
        <v>757.965</v>
      </c>
      <c r="M48" s="296"/>
      <c r="N48" s="296"/>
      <c r="O48" s="296"/>
      <c r="P48" s="296"/>
      <c r="Q48" s="296"/>
      <c r="R48" s="297"/>
      <c r="S48" s="296"/>
      <c r="T48" s="298"/>
      <c r="U48" s="326"/>
      <c r="V48" s="227"/>
    </row>
    <row r="49" spans="1:22" ht="15.75">
      <c r="A49" s="334" t="s">
        <v>173</v>
      </c>
      <c r="B49" s="238"/>
      <c r="C49" s="223"/>
      <c r="D49" s="223"/>
      <c r="E49" s="223"/>
      <c r="F49" s="223"/>
      <c r="G49" s="223">
        <v>1.9</v>
      </c>
      <c r="H49" s="201">
        <v>29</v>
      </c>
      <c r="I49" s="223">
        <v>20</v>
      </c>
      <c r="J49" s="223">
        <v>250</v>
      </c>
      <c r="K49" s="223"/>
      <c r="L49" s="333">
        <f t="shared" si="0"/>
        <v>300.9</v>
      </c>
      <c r="M49" s="296"/>
      <c r="N49" s="296"/>
      <c r="O49" s="296"/>
      <c r="P49" s="296"/>
      <c r="Q49" s="296"/>
      <c r="R49" s="297"/>
      <c r="S49" s="296"/>
      <c r="T49" s="298"/>
      <c r="U49" s="326"/>
      <c r="V49" s="227"/>
    </row>
    <row r="50" spans="1:22" ht="15.75">
      <c r="A50" s="334" t="s">
        <v>174</v>
      </c>
      <c r="B50" s="238"/>
      <c r="C50" s="223"/>
      <c r="D50" s="223"/>
      <c r="E50" s="223">
        <v>400</v>
      </c>
      <c r="F50" s="223"/>
      <c r="G50" s="223">
        <v>2.3</v>
      </c>
      <c r="H50" s="201">
        <v>129</v>
      </c>
      <c r="I50" s="223">
        <v>19</v>
      </c>
      <c r="J50" s="223"/>
      <c r="K50" s="223"/>
      <c r="L50" s="333">
        <f t="shared" si="0"/>
        <v>550.3</v>
      </c>
      <c r="M50" s="296"/>
      <c r="N50" s="296"/>
      <c r="O50" s="296"/>
      <c r="P50" s="296"/>
      <c r="Q50" s="296"/>
      <c r="R50" s="297"/>
      <c r="S50" s="296"/>
      <c r="T50" s="298"/>
      <c r="U50" s="223"/>
      <c r="V50" s="227"/>
    </row>
    <row r="51" spans="1:22" ht="16.5" thickBot="1">
      <c r="A51" s="334" t="s">
        <v>183</v>
      </c>
      <c r="B51" s="238">
        <f>1360.8-254.1-48.9</f>
        <v>1057.8</v>
      </c>
      <c r="C51" s="223">
        <f>10000-2000</f>
        <v>8000</v>
      </c>
      <c r="D51" s="223"/>
      <c r="E51" s="223">
        <f>8000-2000-500-500</f>
        <v>5000</v>
      </c>
      <c r="F51" s="223"/>
      <c r="G51" s="201"/>
      <c r="H51" s="201"/>
      <c r="I51" s="201"/>
      <c r="J51" s="201"/>
      <c r="K51" s="201"/>
      <c r="L51" s="333">
        <f t="shared" si="0"/>
        <v>14057.8</v>
      </c>
      <c r="M51" s="224"/>
      <c r="N51" s="224"/>
      <c r="O51" s="215"/>
      <c r="P51" s="215"/>
      <c r="Q51" s="215"/>
      <c r="R51" s="297"/>
      <c r="S51" s="215"/>
      <c r="T51" s="327"/>
      <c r="U51" s="226"/>
      <c r="V51" s="227"/>
    </row>
    <row r="52" spans="1:22" ht="16.5" thickBot="1">
      <c r="A52" s="337" t="s">
        <v>176</v>
      </c>
      <c r="B52" s="323">
        <f aca="true" t="shared" si="1" ref="B52:L52">SUM(B6:B51)</f>
        <v>16467.899999999998</v>
      </c>
      <c r="C52" s="323">
        <f t="shared" si="1"/>
        <v>8000</v>
      </c>
      <c r="D52" s="323">
        <f t="shared" si="1"/>
        <v>5000</v>
      </c>
      <c r="E52" s="323">
        <f t="shared" si="1"/>
        <v>12688</v>
      </c>
      <c r="F52" s="323">
        <f t="shared" si="1"/>
        <v>98.6</v>
      </c>
      <c r="G52" s="323">
        <f t="shared" si="1"/>
        <v>424.2</v>
      </c>
      <c r="H52" s="346">
        <f>SUM(H6:H51)</f>
        <v>3399.2559000000006</v>
      </c>
      <c r="I52" s="323">
        <f t="shared" si="1"/>
        <v>300</v>
      </c>
      <c r="J52" s="323">
        <f t="shared" si="1"/>
        <v>2000</v>
      </c>
      <c r="K52" s="323">
        <f t="shared" si="1"/>
        <v>1440</v>
      </c>
      <c r="L52" s="323">
        <f t="shared" si="1"/>
        <v>49817.9559</v>
      </c>
      <c r="M52" s="228"/>
      <c r="N52" s="228"/>
      <c r="O52" s="228"/>
      <c r="P52" s="228"/>
      <c r="Q52" s="228"/>
      <c r="R52" s="229"/>
      <c r="S52" s="228"/>
      <c r="T52" s="230"/>
      <c r="U52" s="328"/>
      <c r="V52" s="231"/>
    </row>
    <row r="53" spans="12:13" ht="15.75">
      <c r="L53" s="311">
        <f>B52+C52+D52+E52+F52+G52+H52+I52</f>
        <v>46377.95589999999</v>
      </c>
      <c r="M53" s="353">
        <f>'№3'!K147+'№3'!K135</f>
        <v>49818</v>
      </c>
    </row>
    <row r="54" spans="7:13" ht="15.75">
      <c r="G54" s="344"/>
      <c r="H54" s="347"/>
      <c r="L54" s="300">
        <v>46279.9</v>
      </c>
      <c r="M54" s="344"/>
    </row>
    <row r="55" spans="8:13" ht="15.75">
      <c r="H55" s="347"/>
      <c r="L55" s="344">
        <f>L52-L54</f>
        <v>3538.0558999999994</v>
      </c>
      <c r="M55" s="344">
        <f>L52-M53</f>
        <v>-0.04409999999916181</v>
      </c>
    </row>
  </sheetData>
  <mergeCells count="2">
    <mergeCell ref="W5:X5"/>
    <mergeCell ref="A3:L3"/>
  </mergeCells>
  <printOptions/>
  <pageMargins left="1.1811023622047245" right="0.3937007874015748" top="0.25" bottom="0.34" header="0" footer="0"/>
  <pageSetup horizontalDpi="600" verticalDpi="600" orientation="landscape" paperSize="9" scale="5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B25" sqref="B25"/>
    </sheetView>
  </sheetViews>
  <sheetFormatPr defaultColWidth="9.00390625" defaultRowHeight="12.75"/>
  <cols>
    <col min="1" max="1" width="9.125" style="271" customWidth="1"/>
    <col min="2" max="2" width="36.375" style="271" customWidth="1"/>
    <col min="3" max="3" width="11.125" style="271" customWidth="1"/>
    <col min="4" max="4" width="10.625" style="271" customWidth="1"/>
    <col min="5" max="5" width="12.625" style="271" customWidth="1"/>
    <col min="6" max="16384" width="9.125" style="271" customWidth="1"/>
  </cols>
  <sheetData>
    <row r="1" spans="1:5" ht="12.75">
      <c r="A1" s="189"/>
      <c r="B1" s="189"/>
      <c r="C1" s="452" t="s">
        <v>348</v>
      </c>
      <c r="D1" s="452"/>
      <c r="E1" s="452"/>
    </row>
    <row r="2" spans="1:5" ht="12.75">
      <c r="A2" s="189"/>
      <c r="B2" s="189"/>
      <c r="C2" s="452" t="s">
        <v>199</v>
      </c>
      <c r="D2" s="452"/>
      <c r="E2" s="452"/>
    </row>
    <row r="3" spans="1:5" ht="12.75">
      <c r="A3" s="189"/>
      <c r="B3" s="189"/>
      <c r="C3" s="452"/>
      <c r="D3" s="452"/>
      <c r="E3" s="452"/>
    </row>
    <row r="4" spans="1:19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1:5" ht="12.75">
      <c r="A5" s="451" t="s">
        <v>391</v>
      </c>
      <c r="B5" s="451"/>
      <c r="C5" s="451"/>
      <c r="D5" s="451"/>
      <c r="E5" s="451"/>
    </row>
    <row r="6" spans="1:5" ht="12.75">
      <c r="A6" s="451"/>
      <c r="B6" s="451"/>
      <c r="C6" s="451"/>
      <c r="D6" s="451"/>
      <c r="E6" s="451"/>
    </row>
    <row r="7" spans="1:5" ht="12.75">
      <c r="A7" s="189"/>
      <c r="B7" s="189"/>
      <c r="C7" s="189"/>
      <c r="D7" s="189"/>
      <c r="E7" s="189"/>
    </row>
    <row r="8" spans="1:5" ht="12.75">
      <c r="A8" s="189"/>
      <c r="B8" s="189"/>
      <c r="C8" s="189"/>
      <c r="D8" s="189"/>
      <c r="E8" s="213" t="s">
        <v>36</v>
      </c>
    </row>
    <row r="9" spans="1:5" ht="25.5">
      <c r="A9" s="272" t="s">
        <v>298</v>
      </c>
      <c r="B9" s="272" t="s">
        <v>380</v>
      </c>
      <c r="C9" s="272" t="s">
        <v>206</v>
      </c>
      <c r="D9" s="272" t="s">
        <v>300</v>
      </c>
      <c r="E9" s="272" t="s">
        <v>381</v>
      </c>
    </row>
    <row r="10" spans="1:5" ht="12.75">
      <c r="A10" s="272">
        <v>1</v>
      </c>
      <c r="B10" s="272">
        <v>2</v>
      </c>
      <c r="C10" s="272">
        <v>3</v>
      </c>
      <c r="D10" s="272">
        <v>4</v>
      </c>
      <c r="E10" s="272">
        <v>5</v>
      </c>
    </row>
    <row r="11" spans="1:5" ht="12.75">
      <c r="A11" s="273">
        <v>200000</v>
      </c>
      <c r="B11" s="274" t="s">
        <v>382</v>
      </c>
      <c r="C11" s="221">
        <f>D11+E11</f>
        <v>294509.37399999984</v>
      </c>
      <c r="D11" s="275">
        <f>D12</f>
        <v>294509.37399999984</v>
      </c>
      <c r="E11" s="276">
        <f>E13</f>
        <v>0</v>
      </c>
    </row>
    <row r="12" spans="1:7" ht="25.5">
      <c r="A12" s="277">
        <v>208000</v>
      </c>
      <c r="B12" s="163" t="s">
        <v>383</v>
      </c>
      <c r="C12" s="222">
        <f>D12+E12</f>
        <v>294509.37399999984</v>
      </c>
      <c r="D12" s="278">
        <f>D13</f>
        <v>294509.37399999984</v>
      </c>
      <c r="E12" s="222">
        <f>E13</f>
        <v>0</v>
      </c>
      <c r="G12" s="279"/>
    </row>
    <row r="13" spans="1:5" ht="12.75">
      <c r="A13" s="277">
        <v>208100</v>
      </c>
      <c r="B13" s="163" t="s">
        <v>384</v>
      </c>
      <c r="C13" s="222">
        <f>D13</f>
        <v>294509.37399999984</v>
      </c>
      <c r="D13" s="278">
        <f>'№2'!C104-'№1'!C61</f>
        <v>294509.37399999984</v>
      </c>
      <c r="E13" s="222">
        <v>0</v>
      </c>
    </row>
    <row r="14" spans="2:5" ht="12.75">
      <c r="B14" s="280"/>
      <c r="D14" s="279"/>
      <c r="E14" s="281"/>
    </row>
    <row r="15" spans="2:4" ht="12.75">
      <c r="B15" s="280"/>
      <c r="D15" s="281">
        <v>209409.4</v>
      </c>
    </row>
    <row r="16" spans="2:4" ht="12.75">
      <c r="B16" s="280"/>
      <c r="D16" s="281">
        <f>D15-D13</f>
        <v>-85099.97399999984</v>
      </c>
    </row>
    <row r="17" spans="2:7" ht="12.75">
      <c r="B17" s="280"/>
      <c r="C17" s="271">
        <v>35169.6</v>
      </c>
      <c r="D17" s="281"/>
      <c r="E17" s="279">
        <v>85100</v>
      </c>
      <c r="F17" s="279"/>
      <c r="G17" s="279">
        <f>E17+C17</f>
        <v>120269.6</v>
      </c>
    </row>
    <row r="18" ht="11.25" customHeight="1">
      <c r="B18" s="280"/>
    </row>
    <row r="19" spans="2:5" ht="12.75">
      <c r="B19" s="280"/>
      <c r="E19" s="279">
        <f>D16+E17</f>
        <v>0.026000000158092007</v>
      </c>
    </row>
    <row r="20" spans="2:5" ht="12.75">
      <c r="B20" s="280"/>
      <c r="E20" s="279"/>
    </row>
    <row r="21" ht="12.75">
      <c r="B21" s="280"/>
    </row>
    <row r="22" ht="12.75">
      <c r="B22" s="280"/>
    </row>
    <row r="23" ht="12.75">
      <c r="B23" s="280"/>
    </row>
    <row r="24" ht="12.75">
      <c r="B24" s="280"/>
    </row>
    <row r="25" ht="12.75">
      <c r="B25" s="280"/>
    </row>
    <row r="26" ht="12.75">
      <c r="B26" s="280"/>
    </row>
    <row r="27" ht="12.75">
      <c r="B27" s="280"/>
    </row>
    <row r="28" ht="12.75">
      <c r="B28" s="280"/>
    </row>
    <row r="29" ht="12.75">
      <c r="B29" s="280"/>
    </row>
    <row r="30" ht="12.75">
      <c r="B30" s="280"/>
    </row>
    <row r="38" ht="12.75">
      <c r="B38" s="189" t="s">
        <v>28</v>
      </c>
    </row>
  </sheetData>
  <mergeCells count="5">
    <mergeCell ref="A6:E6"/>
    <mergeCell ref="C1:E1"/>
    <mergeCell ref="C2:E2"/>
    <mergeCell ref="C3:E3"/>
    <mergeCell ref="A5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workbookViewId="0" topLeftCell="B7">
      <pane xSplit="2" ySplit="4" topLeftCell="D56" activePane="bottomRight" state="frozen"/>
      <selection pane="topLeft" activeCell="B7" sqref="B7"/>
      <selection pane="topRight" activeCell="D7" sqref="D7"/>
      <selection pane="bottomLeft" activeCell="B11" sqref="B11"/>
      <selection pane="bottomRight" activeCell="J59" sqref="J59"/>
    </sheetView>
  </sheetViews>
  <sheetFormatPr defaultColWidth="9.00390625" defaultRowHeight="12.75"/>
  <cols>
    <col min="1" max="1" width="3.125" style="251" customWidth="1"/>
    <col min="2" max="2" width="10.375" style="251" customWidth="1"/>
    <col min="3" max="3" width="9.875" style="251" customWidth="1"/>
    <col min="4" max="4" width="15.125" style="251" customWidth="1"/>
    <col min="5" max="5" width="15.625" style="251" customWidth="1"/>
    <col min="6" max="8" width="13.75390625" style="251" customWidth="1"/>
    <col min="9" max="10" width="13.75390625" style="249" customWidth="1"/>
    <col min="11" max="11" width="10.375" style="251" bestFit="1" customWidth="1"/>
    <col min="12" max="16384" width="9.125" style="251" customWidth="1"/>
  </cols>
  <sheetData>
    <row r="1" spans="5:10" s="189" customFormat="1" ht="13.5" customHeight="1">
      <c r="E1" s="188"/>
      <c r="I1" s="249"/>
      <c r="J1" s="188" t="s">
        <v>392</v>
      </c>
    </row>
    <row r="2" spans="5:10" s="189" customFormat="1" ht="12.75">
      <c r="E2" s="188"/>
      <c r="J2" s="188" t="s">
        <v>199</v>
      </c>
    </row>
    <row r="3" spans="4:10" s="189" customFormat="1" ht="12.75">
      <c r="D3" s="188"/>
      <c r="E3" s="188"/>
      <c r="J3" s="3"/>
    </row>
    <row r="4" spans="4:10" s="189" customFormat="1" ht="12.75">
      <c r="D4" s="188"/>
      <c r="E4" s="188"/>
      <c r="I4" s="249"/>
      <c r="J4" s="249"/>
    </row>
    <row r="5" spans="1:11" ht="43.5" customHeight="1">
      <c r="A5" s="453" t="s">
        <v>378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</row>
    <row r="6" spans="1:10" ht="12.75">
      <c r="A6" s="250"/>
      <c r="J6" s="249" t="s">
        <v>36</v>
      </c>
    </row>
    <row r="7" spans="1:11" ht="12.75">
      <c r="A7" s="454" t="s">
        <v>349</v>
      </c>
      <c r="B7" s="457" t="s">
        <v>350</v>
      </c>
      <c r="C7" s="458"/>
      <c r="D7" s="253" t="s">
        <v>72</v>
      </c>
      <c r="E7" s="253" t="s">
        <v>351</v>
      </c>
      <c r="F7" s="362" t="s">
        <v>420</v>
      </c>
      <c r="G7" s="362" t="s">
        <v>420</v>
      </c>
      <c r="H7" s="254" t="s">
        <v>330</v>
      </c>
      <c r="I7" s="482" t="s">
        <v>58</v>
      </c>
      <c r="J7" s="483"/>
      <c r="K7" s="459" t="s">
        <v>206</v>
      </c>
    </row>
    <row r="8" spans="1:11" ht="45" customHeight="1">
      <c r="A8" s="455"/>
      <c r="B8" s="462" t="s">
        <v>352</v>
      </c>
      <c r="C8" s="463"/>
      <c r="D8" s="255" t="s">
        <v>353</v>
      </c>
      <c r="E8" s="255" t="s">
        <v>354</v>
      </c>
      <c r="F8" s="466" t="s">
        <v>355</v>
      </c>
      <c r="G8" s="467"/>
      <c r="H8" s="467"/>
      <c r="I8" s="467"/>
      <c r="J8" s="468"/>
      <c r="K8" s="460"/>
    </row>
    <row r="9" spans="1:11" ht="51" customHeight="1">
      <c r="A9" s="455"/>
      <c r="B9" s="469" t="s">
        <v>376</v>
      </c>
      <c r="C9" s="470"/>
      <c r="D9" s="484" t="s">
        <v>356</v>
      </c>
      <c r="E9" s="484" t="s">
        <v>357</v>
      </c>
      <c r="F9" s="471" t="s">
        <v>445</v>
      </c>
      <c r="G9" s="471" t="s">
        <v>446</v>
      </c>
      <c r="H9" s="471" t="s">
        <v>447</v>
      </c>
      <c r="I9" s="478" t="s">
        <v>449</v>
      </c>
      <c r="J9" s="479"/>
      <c r="K9" s="460"/>
    </row>
    <row r="10" spans="1:11" ht="161.25" customHeight="1">
      <c r="A10" s="456"/>
      <c r="B10" s="366" t="s">
        <v>115</v>
      </c>
      <c r="C10" s="257"/>
      <c r="D10" s="485"/>
      <c r="E10" s="485"/>
      <c r="F10" s="472"/>
      <c r="G10" s="472"/>
      <c r="H10" s="472"/>
      <c r="I10" s="480"/>
      <c r="J10" s="481"/>
      <c r="K10" s="460"/>
    </row>
    <row r="11" spans="1:11" ht="25.5">
      <c r="A11" s="256"/>
      <c r="B11" s="464" t="s">
        <v>375</v>
      </c>
      <c r="C11" s="465"/>
      <c r="D11" s="258" t="s">
        <v>252</v>
      </c>
      <c r="E11" s="258" t="s">
        <v>252</v>
      </c>
      <c r="F11" s="259" t="s">
        <v>252</v>
      </c>
      <c r="G11" s="259" t="s">
        <v>252</v>
      </c>
      <c r="H11" s="259" t="s">
        <v>358</v>
      </c>
      <c r="I11" s="259" t="s">
        <v>252</v>
      </c>
      <c r="J11" s="259" t="s">
        <v>358</v>
      </c>
      <c r="K11" s="461"/>
    </row>
    <row r="12" spans="1:12" ht="12.75">
      <c r="A12" s="260">
        <v>1</v>
      </c>
      <c r="B12" s="473" t="s">
        <v>138</v>
      </c>
      <c r="C12" s="474"/>
      <c r="D12" s="286"/>
      <c r="E12" s="286"/>
      <c r="F12" s="363">
        <f>24.216</f>
        <v>24.216</v>
      </c>
      <c r="G12" s="363">
        <v>5.493</v>
      </c>
      <c r="H12" s="363">
        <v>11.313</v>
      </c>
      <c r="I12" s="287"/>
      <c r="J12" s="264">
        <v>16.024</v>
      </c>
      <c r="K12" s="262">
        <f aca="true" t="shared" si="0" ref="K12:K22">D12+E12+I12+J12+F12+G12+H12</f>
        <v>57.04600000000001</v>
      </c>
      <c r="L12" s="265"/>
    </row>
    <row r="13" spans="1:12" ht="12.75">
      <c r="A13" s="260">
        <v>2</v>
      </c>
      <c r="B13" s="475" t="s">
        <v>130</v>
      </c>
      <c r="C13" s="475"/>
      <c r="D13" s="286">
        <v>100</v>
      </c>
      <c r="E13" s="286"/>
      <c r="F13" s="262"/>
      <c r="G13" s="262"/>
      <c r="H13" s="262"/>
      <c r="I13" s="287"/>
      <c r="J13" s="288"/>
      <c r="K13" s="289">
        <f t="shared" si="0"/>
        <v>100</v>
      </c>
      <c r="L13" s="265"/>
    </row>
    <row r="14" spans="1:12" ht="12.75">
      <c r="A14" s="260">
        <v>3</v>
      </c>
      <c r="B14" s="475" t="s">
        <v>131</v>
      </c>
      <c r="C14" s="475"/>
      <c r="D14" s="286">
        <v>120</v>
      </c>
      <c r="E14" s="286">
        <v>50</v>
      </c>
      <c r="F14" s="262"/>
      <c r="G14" s="262"/>
      <c r="H14" s="262"/>
      <c r="I14" s="263"/>
      <c r="J14" s="264"/>
      <c r="K14" s="289">
        <f t="shared" si="0"/>
        <v>170</v>
      </c>
      <c r="L14" s="265"/>
    </row>
    <row r="15" spans="1:12" ht="12.75">
      <c r="A15" s="260">
        <v>4</v>
      </c>
      <c r="B15" s="475" t="s">
        <v>154</v>
      </c>
      <c r="C15" s="475"/>
      <c r="D15" s="286">
        <v>25</v>
      </c>
      <c r="E15" s="286"/>
      <c r="F15" s="363">
        <v>0.235</v>
      </c>
      <c r="G15" s="262"/>
      <c r="H15" s="262"/>
      <c r="I15" s="263">
        <v>0.29</v>
      </c>
      <c r="J15" s="288"/>
      <c r="K15" s="262">
        <f t="shared" si="0"/>
        <v>25.525</v>
      </c>
      <c r="L15" s="265"/>
    </row>
    <row r="16" spans="1:12" ht="12.75">
      <c r="A16" s="260">
        <v>5</v>
      </c>
      <c r="B16" s="475" t="s">
        <v>132</v>
      </c>
      <c r="C16" s="475"/>
      <c r="D16" s="286">
        <v>175</v>
      </c>
      <c r="E16" s="286">
        <f>146.4-6.4</f>
        <v>140</v>
      </c>
      <c r="F16" s="363">
        <v>10.374</v>
      </c>
      <c r="G16" s="262"/>
      <c r="H16" s="262"/>
      <c r="I16" s="263">
        <v>1.059</v>
      </c>
      <c r="J16" s="288"/>
      <c r="K16" s="289">
        <f t="shared" si="0"/>
        <v>326.43300000000005</v>
      </c>
      <c r="L16" s="265"/>
    </row>
    <row r="17" spans="1:12" ht="12.75">
      <c r="A17" s="260">
        <v>6</v>
      </c>
      <c r="B17" s="475" t="s">
        <v>133</v>
      </c>
      <c r="C17" s="475"/>
      <c r="D17" s="286">
        <v>69</v>
      </c>
      <c r="E17" s="286"/>
      <c r="F17" s="262"/>
      <c r="G17" s="262"/>
      <c r="H17" s="262"/>
      <c r="I17" s="287"/>
      <c r="J17" s="288"/>
      <c r="K17" s="289">
        <f t="shared" si="0"/>
        <v>69</v>
      </c>
      <c r="L17" s="265"/>
    </row>
    <row r="18" spans="1:12" ht="12.75">
      <c r="A18" s="260">
        <v>7</v>
      </c>
      <c r="B18" s="475" t="s">
        <v>134</v>
      </c>
      <c r="C18" s="475"/>
      <c r="D18" s="286">
        <v>45</v>
      </c>
      <c r="E18" s="286">
        <v>60</v>
      </c>
      <c r="F18" s="363">
        <v>0.202</v>
      </c>
      <c r="G18" s="262"/>
      <c r="H18" s="262"/>
      <c r="I18" s="263">
        <f>124.7+12.175</f>
        <v>136.875</v>
      </c>
      <c r="J18" s="264">
        <v>12.005</v>
      </c>
      <c r="K18" s="262">
        <f t="shared" si="0"/>
        <v>254.082</v>
      </c>
      <c r="L18" s="265"/>
    </row>
    <row r="19" spans="1:12" ht="12.75">
      <c r="A19" s="260">
        <v>8</v>
      </c>
      <c r="B19" s="475" t="s">
        <v>359</v>
      </c>
      <c r="C19" s="475"/>
      <c r="D19" s="286">
        <v>20</v>
      </c>
      <c r="E19" s="286">
        <v>39</v>
      </c>
      <c r="F19" s="363">
        <v>0.138</v>
      </c>
      <c r="G19" s="262"/>
      <c r="H19" s="262"/>
      <c r="I19" s="287"/>
      <c r="J19" s="287">
        <v>270</v>
      </c>
      <c r="K19" s="262">
        <f t="shared" si="0"/>
        <v>329.138</v>
      </c>
      <c r="L19" s="265"/>
    </row>
    <row r="20" spans="1:12" ht="12.75">
      <c r="A20" s="260">
        <v>9</v>
      </c>
      <c r="B20" s="475" t="s">
        <v>136</v>
      </c>
      <c r="C20" s="475"/>
      <c r="D20" s="286">
        <v>208.8</v>
      </c>
      <c r="E20" s="286"/>
      <c r="F20" s="363">
        <v>0.078</v>
      </c>
      <c r="G20" s="262"/>
      <c r="H20" s="262"/>
      <c r="I20" s="287"/>
      <c r="J20" s="290"/>
      <c r="K20" s="262">
        <f t="shared" si="0"/>
        <v>208.87800000000001</v>
      </c>
      <c r="L20" s="265"/>
    </row>
    <row r="21" spans="1:12" ht="12.75">
      <c r="A21" s="260">
        <v>10</v>
      </c>
      <c r="B21" s="475" t="s">
        <v>137</v>
      </c>
      <c r="C21" s="475"/>
      <c r="D21" s="286">
        <v>30</v>
      </c>
      <c r="E21" s="261"/>
      <c r="F21" s="262"/>
      <c r="G21" s="262"/>
      <c r="H21" s="262"/>
      <c r="I21" s="263">
        <v>8.711</v>
      </c>
      <c r="J21" s="264"/>
      <c r="K21" s="262">
        <f t="shared" si="0"/>
        <v>38.711</v>
      </c>
      <c r="L21" s="265"/>
    </row>
    <row r="22" spans="1:12" ht="12.75">
      <c r="A22" s="260">
        <v>11</v>
      </c>
      <c r="B22" s="475" t="s">
        <v>139</v>
      </c>
      <c r="C22" s="475"/>
      <c r="D22" s="286"/>
      <c r="E22" s="286"/>
      <c r="F22" s="363">
        <v>0.187</v>
      </c>
      <c r="G22" s="363">
        <v>0.107</v>
      </c>
      <c r="H22" s="262"/>
      <c r="I22" s="287"/>
      <c r="J22" s="287">
        <v>241.4</v>
      </c>
      <c r="K22" s="289">
        <f t="shared" si="0"/>
        <v>241.69400000000002</v>
      </c>
      <c r="L22" s="265"/>
    </row>
    <row r="23" spans="1:12" ht="12.75">
      <c r="A23" s="260">
        <v>12</v>
      </c>
      <c r="B23" s="475" t="s">
        <v>140</v>
      </c>
      <c r="C23" s="475"/>
      <c r="D23" s="261"/>
      <c r="E23" s="261"/>
      <c r="F23" s="262"/>
      <c r="G23" s="262"/>
      <c r="H23" s="262"/>
      <c r="I23" s="263"/>
      <c r="J23" s="264"/>
      <c r="K23" s="262">
        <f>D23+E23+I23+J23</f>
        <v>0</v>
      </c>
      <c r="L23" s="265"/>
    </row>
    <row r="24" spans="1:12" ht="15">
      <c r="A24" s="260">
        <v>13</v>
      </c>
      <c r="B24" s="475" t="s">
        <v>141</v>
      </c>
      <c r="C24" s="476"/>
      <c r="D24" s="286">
        <v>19</v>
      </c>
      <c r="E24" s="261"/>
      <c r="F24" s="262"/>
      <c r="G24" s="262"/>
      <c r="H24" s="262"/>
      <c r="I24" s="266"/>
      <c r="J24" s="266"/>
      <c r="K24" s="289">
        <f>D24+E24+I24+J24+F24+G24+H24</f>
        <v>19</v>
      </c>
      <c r="L24" s="265"/>
    </row>
    <row r="25" spans="1:12" ht="12.75">
      <c r="A25" s="260">
        <v>14</v>
      </c>
      <c r="B25" s="475" t="s">
        <v>142</v>
      </c>
      <c r="C25" s="475"/>
      <c r="D25" s="261"/>
      <c r="E25" s="261"/>
      <c r="F25" s="262"/>
      <c r="G25" s="262"/>
      <c r="H25" s="262"/>
      <c r="I25" s="263"/>
      <c r="J25" s="264">
        <v>25</v>
      </c>
      <c r="K25" s="262">
        <f>D25+E25+I25+J25</f>
        <v>25</v>
      </c>
      <c r="L25" s="265"/>
    </row>
    <row r="26" spans="1:12" ht="12.75">
      <c r="A26" s="260">
        <v>15</v>
      </c>
      <c r="B26" s="475" t="s">
        <v>143</v>
      </c>
      <c r="C26" s="475"/>
      <c r="D26" s="291"/>
      <c r="E26" s="286"/>
      <c r="F26" s="363"/>
      <c r="G26" s="363">
        <v>0.177</v>
      </c>
      <c r="H26" s="262"/>
      <c r="I26" s="287"/>
      <c r="J26" s="288">
        <v>173.4</v>
      </c>
      <c r="K26" s="262">
        <f aca="true" t="shared" si="1" ref="K26:K40">D26+E26+I26+J26+F26+G26+H26</f>
        <v>173.577</v>
      </c>
      <c r="L26" s="265"/>
    </row>
    <row r="27" spans="1:12" ht="12.75">
      <c r="A27" s="260">
        <v>16</v>
      </c>
      <c r="B27" s="475" t="s">
        <v>144</v>
      </c>
      <c r="C27" s="475"/>
      <c r="D27" s="286">
        <v>15</v>
      </c>
      <c r="E27" s="286"/>
      <c r="F27" s="363">
        <f>1.331</f>
        <v>1.331</v>
      </c>
      <c r="G27" s="363">
        <v>0.695</v>
      </c>
      <c r="H27" s="262"/>
      <c r="I27" s="287"/>
      <c r="J27" s="288"/>
      <c r="K27" s="262">
        <f t="shared" si="1"/>
        <v>17.026</v>
      </c>
      <c r="L27" s="265"/>
    </row>
    <row r="28" spans="1:12" ht="12.75">
      <c r="A28" s="260">
        <v>17</v>
      </c>
      <c r="B28" s="475" t="s">
        <v>146</v>
      </c>
      <c r="C28" s="475"/>
      <c r="D28" s="286"/>
      <c r="E28" s="286">
        <v>60</v>
      </c>
      <c r="F28" s="363">
        <f>3.307</f>
        <v>3.307</v>
      </c>
      <c r="G28" s="363">
        <v>0.052</v>
      </c>
      <c r="H28" s="262"/>
      <c r="I28" s="287"/>
      <c r="J28" s="288"/>
      <c r="K28" s="262">
        <f t="shared" si="1"/>
        <v>63.359</v>
      </c>
      <c r="L28" s="265"/>
    </row>
    <row r="29" spans="1:12" ht="12.75" customHeight="1">
      <c r="A29" s="260">
        <v>18</v>
      </c>
      <c r="B29" s="475" t="s">
        <v>145</v>
      </c>
      <c r="C29" s="475"/>
      <c r="D29" s="261"/>
      <c r="E29" s="261"/>
      <c r="F29" s="363">
        <f>0.479</f>
        <v>0.479</v>
      </c>
      <c r="G29" s="363">
        <v>0.091</v>
      </c>
      <c r="H29" s="262"/>
      <c r="I29" s="263"/>
      <c r="J29" s="264"/>
      <c r="K29" s="262">
        <f t="shared" si="1"/>
        <v>0.57</v>
      </c>
      <c r="L29" s="265"/>
    </row>
    <row r="30" spans="1:12" ht="12.75">
      <c r="A30" s="260">
        <v>19</v>
      </c>
      <c r="B30" s="475" t="s">
        <v>147</v>
      </c>
      <c r="C30" s="475"/>
      <c r="D30" s="286">
        <v>1000</v>
      </c>
      <c r="E30" s="286">
        <v>1500</v>
      </c>
      <c r="F30" s="363">
        <f>0.985</f>
        <v>0.985</v>
      </c>
      <c r="G30" s="363">
        <v>1.813</v>
      </c>
      <c r="H30" s="262"/>
      <c r="I30" s="287"/>
      <c r="J30" s="288"/>
      <c r="K30" s="262">
        <f t="shared" si="1"/>
        <v>2502.7980000000002</v>
      </c>
      <c r="L30" s="265"/>
    </row>
    <row r="31" spans="1:12" ht="12.75">
      <c r="A31" s="260">
        <v>20</v>
      </c>
      <c r="B31" s="475" t="s">
        <v>148</v>
      </c>
      <c r="C31" s="475"/>
      <c r="D31" s="338">
        <v>156</v>
      </c>
      <c r="E31" s="261"/>
      <c r="F31" s="262"/>
      <c r="G31" s="262"/>
      <c r="H31" s="262"/>
      <c r="I31" s="266"/>
      <c r="J31" s="266">
        <v>50.212</v>
      </c>
      <c r="K31" s="262">
        <f t="shared" si="1"/>
        <v>206.212</v>
      </c>
      <c r="L31" s="265"/>
    </row>
    <row r="32" spans="1:12" ht="12.75">
      <c r="A32" s="260">
        <v>21</v>
      </c>
      <c r="B32" s="475" t="s">
        <v>149</v>
      </c>
      <c r="C32" s="475"/>
      <c r="D32" s="338">
        <v>42</v>
      </c>
      <c r="E32" s="286"/>
      <c r="F32" s="262"/>
      <c r="G32" s="262"/>
      <c r="H32" s="262"/>
      <c r="I32" s="292"/>
      <c r="J32" s="292"/>
      <c r="K32" s="289">
        <f t="shared" si="1"/>
        <v>42</v>
      </c>
      <c r="L32" s="265"/>
    </row>
    <row r="33" spans="1:12" ht="12.75">
      <c r="A33" s="260">
        <v>22</v>
      </c>
      <c r="B33" s="475" t="s">
        <v>150</v>
      </c>
      <c r="C33" s="475"/>
      <c r="D33" s="338">
        <v>50</v>
      </c>
      <c r="E33" s="286">
        <v>20</v>
      </c>
      <c r="F33" s="363">
        <v>9.085</v>
      </c>
      <c r="G33" s="262"/>
      <c r="H33" s="262"/>
      <c r="I33" s="287"/>
      <c r="J33" s="292"/>
      <c r="K33" s="262">
        <f t="shared" si="1"/>
        <v>79.08500000000001</v>
      </c>
      <c r="L33" s="265"/>
    </row>
    <row r="34" spans="1:12" ht="12.75">
      <c r="A34" s="260">
        <v>23</v>
      </c>
      <c r="B34" s="475" t="s">
        <v>151</v>
      </c>
      <c r="C34" s="475"/>
      <c r="D34" s="338">
        <v>20</v>
      </c>
      <c r="E34" s="286"/>
      <c r="F34" s="363">
        <v>0.279</v>
      </c>
      <c r="G34" s="363">
        <v>0.737</v>
      </c>
      <c r="H34" s="262"/>
      <c r="I34" s="287"/>
      <c r="J34" s="264">
        <v>0.3</v>
      </c>
      <c r="K34" s="289">
        <f t="shared" si="1"/>
        <v>21.316</v>
      </c>
      <c r="L34" s="265"/>
    </row>
    <row r="35" spans="1:12" ht="12.75">
      <c r="A35" s="260">
        <v>24</v>
      </c>
      <c r="B35" s="475" t="s">
        <v>152</v>
      </c>
      <c r="C35" s="475"/>
      <c r="D35" s="338">
        <v>100</v>
      </c>
      <c r="E35" s="286"/>
      <c r="F35" s="363">
        <f>0.626</f>
        <v>0.626</v>
      </c>
      <c r="G35" s="363">
        <v>10.048</v>
      </c>
      <c r="H35" s="262"/>
      <c r="I35" s="287"/>
      <c r="J35" s="288"/>
      <c r="K35" s="262">
        <f t="shared" si="1"/>
        <v>110.674</v>
      </c>
      <c r="L35" s="265"/>
    </row>
    <row r="36" spans="1:12" ht="12.75">
      <c r="A36" s="260">
        <v>25</v>
      </c>
      <c r="B36" s="475" t="s">
        <v>153</v>
      </c>
      <c r="C36" s="475"/>
      <c r="D36" s="338">
        <v>128</v>
      </c>
      <c r="E36" s="286"/>
      <c r="F36" s="363">
        <v>0.202</v>
      </c>
      <c r="G36" s="262"/>
      <c r="H36" s="262"/>
      <c r="I36" s="287"/>
      <c r="J36" s="264">
        <v>0.601</v>
      </c>
      <c r="K36" s="262">
        <f t="shared" si="1"/>
        <v>128.803</v>
      </c>
      <c r="L36" s="265"/>
    </row>
    <row r="37" spans="1:12" ht="12.75">
      <c r="A37" s="260">
        <v>26</v>
      </c>
      <c r="B37" s="475" t="s">
        <v>181</v>
      </c>
      <c r="C37" s="475"/>
      <c r="D37" s="338">
        <v>39.6</v>
      </c>
      <c r="E37" s="261"/>
      <c r="F37" s="363"/>
      <c r="G37" s="363">
        <v>0.111</v>
      </c>
      <c r="H37" s="262"/>
      <c r="I37" s="263"/>
      <c r="J37" s="264"/>
      <c r="K37" s="262">
        <f t="shared" si="1"/>
        <v>39.711</v>
      </c>
      <c r="L37" s="265"/>
    </row>
    <row r="38" spans="1:12" ht="12.75">
      <c r="A38" s="260">
        <v>27</v>
      </c>
      <c r="B38" s="475" t="s">
        <v>156</v>
      </c>
      <c r="C38" s="475"/>
      <c r="D38" s="286">
        <v>80</v>
      </c>
      <c r="E38" s="286">
        <v>50</v>
      </c>
      <c r="F38" s="363"/>
      <c r="G38" s="363">
        <v>1.331</v>
      </c>
      <c r="H38" s="262"/>
      <c r="I38" s="287"/>
      <c r="J38" s="288"/>
      <c r="K38" s="262">
        <f t="shared" si="1"/>
        <v>131.331</v>
      </c>
      <c r="L38" s="265"/>
    </row>
    <row r="39" spans="1:12" ht="12.75">
      <c r="A39" s="260">
        <v>28</v>
      </c>
      <c r="B39" s="475" t="s">
        <v>157</v>
      </c>
      <c r="C39" s="475"/>
      <c r="D39" s="286">
        <v>20</v>
      </c>
      <c r="E39" s="261"/>
      <c r="F39" s="363">
        <v>0.511</v>
      </c>
      <c r="G39" s="262"/>
      <c r="H39" s="262"/>
      <c r="I39" s="263"/>
      <c r="J39" s="264"/>
      <c r="K39" s="262">
        <f t="shared" si="1"/>
        <v>20.511</v>
      </c>
      <c r="L39" s="265"/>
    </row>
    <row r="40" spans="1:12" s="252" customFormat="1" ht="12.75">
      <c r="A40" s="477" t="s">
        <v>360</v>
      </c>
      <c r="B40" s="477"/>
      <c r="C40" s="477"/>
      <c r="D40" s="289">
        <f aca="true" t="shared" si="2" ref="D40:J40">SUM(D12:D39)</f>
        <v>2462.4</v>
      </c>
      <c r="E40" s="289">
        <f t="shared" si="2"/>
        <v>1919</v>
      </c>
      <c r="F40" s="262">
        <f t="shared" si="2"/>
        <v>52.23500000000001</v>
      </c>
      <c r="G40" s="262">
        <f t="shared" si="2"/>
        <v>20.655</v>
      </c>
      <c r="H40" s="262">
        <f t="shared" si="2"/>
        <v>11.313</v>
      </c>
      <c r="I40" s="267">
        <f t="shared" si="2"/>
        <v>146.935</v>
      </c>
      <c r="J40" s="267">
        <f t="shared" si="2"/>
        <v>788.9419999999999</v>
      </c>
      <c r="K40" s="262">
        <f t="shared" si="1"/>
        <v>5401.48</v>
      </c>
      <c r="L40" s="265"/>
    </row>
    <row r="41" spans="1:12" ht="12.75">
      <c r="A41" s="260">
        <v>29</v>
      </c>
      <c r="B41" s="475" t="s">
        <v>159</v>
      </c>
      <c r="C41" s="475"/>
      <c r="D41" s="261"/>
      <c r="E41" s="261"/>
      <c r="F41" s="262"/>
      <c r="G41" s="262"/>
      <c r="H41" s="262"/>
      <c r="I41" s="266"/>
      <c r="J41" s="266"/>
      <c r="K41" s="262">
        <f>D41+E41+I41+J41</f>
        <v>0</v>
      </c>
      <c r="L41" s="265"/>
    </row>
    <row r="42" spans="1:12" ht="12.75">
      <c r="A42" s="260">
        <v>30</v>
      </c>
      <c r="B42" s="475" t="s">
        <v>160</v>
      </c>
      <c r="C42" s="475"/>
      <c r="D42" s="286">
        <v>25</v>
      </c>
      <c r="E42" s="286">
        <v>60</v>
      </c>
      <c r="F42" s="363">
        <v>2.801</v>
      </c>
      <c r="G42" s="262"/>
      <c r="H42" s="262"/>
      <c r="I42" s="287"/>
      <c r="J42" s="292"/>
      <c r="K42" s="262">
        <f aca="true" t="shared" si="3" ref="K42:K51">D42+E42+I42+J42+F42+G42+H42</f>
        <v>87.801</v>
      </c>
      <c r="L42" s="265"/>
    </row>
    <row r="43" spans="1:12" ht="12.75">
      <c r="A43" s="260">
        <v>31</v>
      </c>
      <c r="B43" s="475" t="s">
        <v>361</v>
      </c>
      <c r="C43" s="475"/>
      <c r="D43" s="261"/>
      <c r="E43" s="261"/>
      <c r="F43" s="363">
        <v>0.671</v>
      </c>
      <c r="G43" s="262"/>
      <c r="H43" s="262"/>
      <c r="I43" s="263">
        <v>0.416</v>
      </c>
      <c r="J43" s="266"/>
      <c r="K43" s="262">
        <f t="shared" si="3"/>
        <v>1.087</v>
      </c>
      <c r="L43" s="265"/>
    </row>
    <row r="44" spans="1:12" ht="12.75">
      <c r="A44" s="260">
        <v>32</v>
      </c>
      <c r="B44" s="475" t="s">
        <v>362</v>
      </c>
      <c r="C44" s="475"/>
      <c r="D44" s="286">
        <v>100</v>
      </c>
      <c r="E44" s="286">
        <v>37</v>
      </c>
      <c r="F44" s="363">
        <v>0.051</v>
      </c>
      <c r="G44" s="262"/>
      <c r="H44" s="262"/>
      <c r="I44" s="263">
        <v>0.229</v>
      </c>
      <c r="J44" s="292"/>
      <c r="K44" s="289">
        <f t="shared" si="3"/>
        <v>137.28</v>
      </c>
      <c r="L44" s="265"/>
    </row>
    <row r="45" spans="1:12" ht="12.75">
      <c r="A45" s="260">
        <v>33</v>
      </c>
      <c r="B45" s="475" t="s">
        <v>363</v>
      </c>
      <c r="C45" s="475"/>
      <c r="D45" s="286">
        <v>35</v>
      </c>
      <c r="E45" s="261"/>
      <c r="F45" s="262"/>
      <c r="G45" s="262"/>
      <c r="H45" s="262"/>
      <c r="I45" s="266"/>
      <c r="J45" s="266"/>
      <c r="K45" s="289">
        <f t="shared" si="3"/>
        <v>35</v>
      </c>
      <c r="L45" s="265"/>
    </row>
    <row r="46" spans="1:12" ht="12.75">
      <c r="A46" s="260">
        <v>34</v>
      </c>
      <c r="B46" s="475" t="s">
        <v>164</v>
      </c>
      <c r="C46" s="475"/>
      <c r="D46" s="286">
        <v>40</v>
      </c>
      <c r="E46" s="286">
        <v>10</v>
      </c>
      <c r="F46" s="262"/>
      <c r="G46" s="262"/>
      <c r="H46" s="262"/>
      <c r="I46" s="292"/>
      <c r="J46" s="292"/>
      <c r="K46" s="289">
        <f t="shared" si="3"/>
        <v>50</v>
      </c>
      <c r="L46" s="265"/>
    </row>
    <row r="47" spans="1:12" ht="12.75">
      <c r="A47" s="260">
        <v>35</v>
      </c>
      <c r="B47" s="475" t="s">
        <v>364</v>
      </c>
      <c r="C47" s="475"/>
      <c r="D47" s="286">
        <v>40</v>
      </c>
      <c r="E47" s="286"/>
      <c r="F47" s="262"/>
      <c r="G47" s="262"/>
      <c r="H47" s="262"/>
      <c r="I47" s="292"/>
      <c r="J47" s="292"/>
      <c r="K47" s="289">
        <f t="shared" si="3"/>
        <v>40</v>
      </c>
      <c r="L47" s="265"/>
    </row>
    <row r="48" spans="1:12" ht="12.75">
      <c r="A48" s="260">
        <v>36</v>
      </c>
      <c r="B48" s="475" t="s">
        <v>365</v>
      </c>
      <c r="C48" s="475"/>
      <c r="D48" s="286">
        <v>55</v>
      </c>
      <c r="E48" s="286">
        <v>35</v>
      </c>
      <c r="F48" s="262"/>
      <c r="G48" s="262"/>
      <c r="H48" s="262"/>
      <c r="I48" s="292"/>
      <c r="J48" s="292"/>
      <c r="K48" s="289">
        <f t="shared" si="3"/>
        <v>90</v>
      </c>
      <c r="L48" s="265"/>
    </row>
    <row r="49" spans="1:12" ht="12.75">
      <c r="A49" s="260">
        <v>37</v>
      </c>
      <c r="B49" s="475" t="s">
        <v>167</v>
      </c>
      <c r="C49" s="475"/>
      <c r="D49" s="286">
        <v>132</v>
      </c>
      <c r="E49" s="286"/>
      <c r="F49" s="262"/>
      <c r="G49" s="262"/>
      <c r="H49" s="262"/>
      <c r="I49" s="287"/>
      <c r="J49" s="292"/>
      <c r="K49" s="289">
        <f t="shared" si="3"/>
        <v>132</v>
      </c>
      <c r="L49" s="265"/>
    </row>
    <row r="50" spans="1:12" ht="12.75">
      <c r="A50" s="260">
        <v>38</v>
      </c>
      <c r="B50" s="475" t="s">
        <v>366</v>
      </c>
      <c r="C50" s="475"/>
      <c r="D50" s="286">
        <v>50</v>
      </c>
      <c r="E50" s="286">
        <v>30</v>
      </c>
      <c r="F50" s="262"/>
      <c r="G50" s="262"/>
      <c r="H50" s="262"/>
      <c r="I50" s="263">
        <v>0.035</v>
      </c>
      <c r="J50" s="292"/>
      <c r="K50" s="262">
        <f t="shared" si="3"/>
        <v>80.035</v>
      </c>
      <c r="L50" s="265"/>
    </row>
    <row r="51" spans="1:12" ht="12.75">
      <c r="A51" s="260">
        <v>39</v>
      </c>
      <c r="B51" s="475" t="s">
        <v>367</v>
      </c>
      <c r="C51" s="475"/>
      <c r="D51" s="286">
        <v>45</v>
      </c>
      <c r="E51" s="286"/>
      <c r="F51" s="262"/>
      <c r="G51" s="262"/>
      <c r="H51" s="262"/>
      <c r="I51" s="287"/>
      <c r="J51" s="292"/>
      <c r="K51" s="289">
        <f t="shared" si="3"/>
        <v>45</v>
      </c>
      <c r="L51" s="265"/>
    </row>
    <row r="52" spans="1:12" ht="12.75">
      <c r="A52" s="260">
        <v>40</v>
      </c>
      <c r="B52" s="475" t="s">
        <v>368</v>
      </c>
      <c r="C52" s="475"/>
      <c r="D52" s="261"/>
      <c r="E52" s="261"/>
      <c r="F52" s="363">
        <v>0.045</v>
      </c>
      <c r="G52" s="262"/>
      <c r="H52" s="262"/>
      <c r="I52" s="263">
        <v>0.051</v>
      </c>
      <c r="J52" s="266"/>
      <c r="K52" s="262">
        <f>D52+E52+I52+J52</f>
        <v>0.051</v>
      </c>
      <c r="L52" s="265"/>
    </row>
    <row r="53" spans="1:12" ht="12.75">
      <c r="A53" s="260">
        <v>41</v>
      </c>
      <c r="B53" s="475" t="s">
        <v>369</v>
      </c>
      <c r="C53" s="475"/>
      <c r="D53" s="286">
        <v>70</v>
      </c>
      <c r="E53" s="286">
        <v>90</v>
      </c>
      <c r="F53" s="262"/>
      <c r="G53" s="262"/>
      <c r="H53" s="262"/>
      <c r="I53" s="292"/>
      <c r="J53" s="292"/>
      <c r="K53" s="289">
        <f aca="true" t="shared" si="4" ref="K53:K58">D53+E53+I53+J53+F53+G53+H53</f>
        <v>160</v>
      </c>
      <c r="L53" s="265"/>
    </row>
    <row r="54" spans="1:12" ht="12.75">
      <c r="A54" s="260">
        <v>42</v>
      </c>
      <c r="B54" s="475" t="s">
        <v>370</v>
      </c>
      <c r="C54" s="475"/>
      <c r="D54" s="286">
        <v>22</v>
      </c>
      <c r="E54" s="286">
        <v>30</v>
      </c>
      <c r="F54" s="262"/>
      <c r="G54" s="262"/>
      <c r="H54" s="262"/>
      <c r="I54" s="292"/>
      <c r="J54" s="292"/>
      <c r="K54" s="289">
        <f t="shared" si="4"/>
        <v>52</v>
      </c>
      <c r="L54" s="265"/>
    </row>
    <row r="55" spans="1:12" ht="12.75">
      <c r="A55" s="260">
        <v>43</v>
      </c>
      <c r="B55" s="475" t="s">
        <v>371</v>
      </c>
      <c r="C55" s="475"/>
      <c r="D55" s="286">
        <v>35</v>
      </c>
      <c r="E55" s="286"/>
      <c r="F55" s="262"/>
      <c r="G55" s="262"/>
      <c r="H55" s="262"/>
      <c r="I55" s="266">
        <v>0.025</v>
      </c>
      <c r="J55" s="292"/>
      <c r="K55" s="262">
        <f t="shared" si="4"/>
        <v>35.025</v>
      </c>
      <c r="L55" s="265"/>
    </row>
    <row r="56" spans="1:12" ht="12.75">
      <c r="A56" s="260">
        <v>44</v>
      </c>
      <c r="B56" s="475" t="s">
        <v>372</v>
      </c>
      <c r="C56" s="475"/>
      <c r="D56" s="286">
        <v>30</v>
      </c>
      <c r="E56" s="286">
        <v>35</v>
      </c>
      <c r="F56" s="262"/>
      <c r="G56" s="262"/>
      <c r="H56" s="262"/>
      <c r="I56" s="292"/>
      <c r="J56" s="292"/>
      <c r="K56" s="289">
        <f t="shared" si="4"/>
        <v>65</v>
      </c>
      <c r="L56" s="265"/>
    </row>
    <row r="57" spans="1:12" ht="12.75">
      <c r="A57" s="260">
        <v>45</v>
      </c>
      <c r="B57" s="475" t="s">
        <v>174</v>
      </c>
      <c r="C57" s="475"/>
      <c r="D57" s="286">
        <v>30</v>
      </c>
      <c r="E57" s="286"/>
      <c r="F57" s="262"/>
      <c r="G57" s="262"/>
      <c r="H57" s="262"/>
      <c r="I57" s="292"/>
      <c r="J57" s="292"/>
      <c r="K57" s="289">
        <f t="shared" si="4"/>
        <v>30</v>
      </c>
      <c r="L57" s="265"/>
    </row>
    <row r="58" spans="1:12" s="252" customFormat="1" ht="12.75">
      <c r="A58" s="486" t="s">
        <v>373</v>
      </c>
      <c r="B58" s="486"/>
      <c r="C58" s="486"/>
      <c r="D58" s="289">
        <f aca="true" t="shared" si="5" ref="D58:J58">SUM(D41:D57)</f>
        <v>709</v>
      </c>
      <c r="E58" s="289">
        <f t="shared" si="5"/>
        <v>327</v>
      </c>
      <c r="F58" s="262">
        <f t="shared" si="5"/>
        <v>3.5680000000000005</v>
      </c>
      <c r="G58" s="289">
        <f t="shared" si="5"/>
        <v>0</v>
      </c>
      <c r="H58" s="289">
        <f t="shared" si="5"/>
        <v>0</v>
      </c>
      <c r="I58" s="267">
        <f t="shared" si="5"/>
        <v>0.7560000000000001</v>
      </c>
      <c r="J58" s="293">
        <f t="shared" si="5"/>
        <v>0</v>
      </c>
      <c r="K58" s="262">
        <f t="shared" si="4"/>
        <v>1040.324</v>
      </c>
      <c r="L58" s="265"/>
    </row>
    <row r="59" spans="1:12" s="252" customFormat="1" ht="12.75">
      <c r="A59" s="486" t="s">
        <v>374</v>
      </c>
      <c r="B59" s="486"/>
      <c r="C59" s="486"/>
      <c r="D59" s="289">
        <f aca="true" t="shared" si="6" ref="D59:K59">D58+D40</f>
        <v>3171.4</v>
      </c>
      <c r="E59" s="289">
        <f t="shared" si="6"/>
        <v>2246</v>
      </c>
      <c r="F59" s="262">
        <f t="shared" si="6"/>
        <v>55.803000000000004</v>
      </c>
      <c r="G59" s="262">
        <f t="shared" si="6"/>
        <v>20.655</v>
      </c>
      <c r="H59" s="262">
        <f t="shared" si="6"/>
        <v>11.313</v>
      </c>
      <c r="I59" s="267">
        <f t="shared" si="6"/>
        <v>147.691</v>
      </c>
      <c r="J59" s="267">
        <f t="shared" si="6"/>
        <v>788.9419999999999</v>
      </c>
      <c r="K59" s="262">
        <f t="shared" si="6"/>
        <v>6441.804</v>
      </c>
      <c r="L59" s="265">
        <f>K59-6226.9</f>
        <v>214.90400000000045</v>
      </c>
    </row>
    <row r="60" ht="12.75">
      <c r="J60" s="268">
        <f>SUM(F59:J59)</f>
        <v>1024.404</v>
      </c>
    </row>
    <row r="61" spans="10:11" ht="12.75">
      <c r="J61" s="268">
        <f>J60-124.7-684.8</f>
        <v>214.904</v>
      </c>
      <c r="K61" s="265"/>
    </row>
    <row r="62" spans="6:8" ht="12.75">
      <c r="F62" s="265"/>
      <c r="G62" s="265"/>
      <c r="H62" s="265"/>
    </row>
    <row r="76" ht="12.75">
      <c r="B76" s="189"/>
    </row>
  </sheetData>
  <mergeCells count="63">
    <mergeCell ref="H9:H10"/>
    <mergeCell ref="D9:D10"/>
    <mergeCell ref="E9:E10"/>
    <mergeCell ref="A59:C59"/>
    <mergeCell ref="B57:C57"/>
    <mergeCell ref="A58:C58"/>
    <mergeCell ref="B54:C54"/>
    <mergeCell ref="B47:C47"/>
    <mergeCell ref="B48:C48"/>
    <mergeCell ref="B49:C49"/>
    <mergeCell ref="I9:J10"/>
    <mergeCell ref="I7:J7"/>
    <mergeCell ref="B55:C55"/>
    <mergeCell ref="B56:C56"/>
    <mergeCell ref="B51:C51"/>
    <mergeCell ref="B52:C52"/>
    <mergeCell ref="B53:C53"/>
    <mergeCell ref="B45:C45"/>
    <mergeCell ref="B46:C46"/>
    <mergeCell ref="B43:C43"/>
    <mergeCell ref="B50:C50"/>
    <mergeCell ref="A40:C40"/>
    <mergeCell ref="B41:C41"/>
    <mergeCell ref="B42:C42"/>
    <mergeCell ref="B44:C44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30:C30"/>
    <mergeCell ref="B29:C29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5:K5"/>
    <mergeCell ref="A7:A10"/>
    <mergeCell ref="B7:C7"/>
    <mergeCell ref="K7:K11"/>
    <mergeCell ref="B8:C8"/>
    <mergeCell ref="B11:C11"/>
    <mergeCell ref="F8:J8"/>
    <mergeCell ref="B9:C9"/>
    <mergeCell ref="F9:F10"/>
    <mergeCell ref="G9:G10"/>
  </mergeCells>
  <printOptions/>
  <pageMargins left="1.1811023622047245" right="0.3937007874015748" top="0.7874015748031497" bottom="0.2755905511811024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ApalkovaOV05</cp:lastModifiedBy>
  <cp:lastPrinted>2009-12-28T11:23:34Z</cp:lastPrinted>
  <dcterms:created xsi:type="dcterms:W3CDTF">2003-12-10T21:35:36Z</dcterms:created>
  <dcterms:modified xsi:type="dcterms:W3CDTF">2009-12-28T12:49:57Z</dcterms:modified>
  <cp:category/>
  <cp:version/>
  <cp:contentType/>
  <cp:contentStatus/>
</cp:coreProperties>
</file>