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55" windowWidth="11100" windowHeight="5835" activeTab="2"/>
  </bookViews>
  <sheets>
    <sheet name="Прил.№1" sheetId="1" r:id="rId1"/>
    <sheet name="Прил.№2" sheetId="2" r:id="rId2"/>
    <sheet name="Прил.№3" sheetId="3" r:id="rId3"/>
    <sheet name="Прил.№4" sheetId="4" r:id="rId4"/>
    <sheet name="Прил.№7" sheetId="5" r:id="rId5"/>
  </sheets>
  <definedNames>
    <definedName name="_xlnm.Print_Titles" localSheetId="0">'Прил.№1'!$9:$11</definedName>
    <definedName name="_xlnm.Print_Area" localSheetId="1">'Прил.№2'!$A$1:$K$97</definedName>
    <definedName name="_xlnm.Print_Area" localSheetId="2">'Прил.№3'!$A$1:$K$98</definedName>
  </definedNames>
  <calcPr fullCalcOnLoad="1"/>
</workbook>
</file>

<file path=xl/sharedStrings.xml><?xml version="1.0" encoding="utf-8"?>
<sst xmlns="http://schemas.openxmlformats.org/spreadsheetml/2006/main" count="518" uniqueCount="313">
  <si>
    <t>Приложение 1</t>
  </si>
  <si>
    <t>к решению областного совета</t>
  </si>
  <si>
    <t>Доходы областного бюджета на 2003 год</t>
  </si>
  <si>
    <t>тыс.гривен</t>
  </si>
  <si>
    <t>Код</t>
  </si>
  <si>
    <t>Наименование доходов в соответствии с  бюджетной классификацией</t>
  </si>
  <si>
    <t>Общий фонд</t>
  </si>
  <si>
    <t xml:space="preserve">              Специальный фонд</t>
  </si>
  <si>
    <t>Всего</t>
  </si>
  <si>
    <t>в т.ч. бюджет развития</t>
  </si>
  <si>
    <t>6=(гр.3+гр.4)</t>
  </si>
  <si>
    <t>Налоговые поступления</t>
  </si>
  <si>
    <t>Х</t>
  </si>
  <si>
    <t>Налоги на доходы, налоги на прибыль, налоги на увеличение рыночной стоимости</t>
  </si>
  <si>
    <t>Подоходный налог с граждан</t>
  </si>
  <si>
    <t>Налог на прибыль предприятий</t>
  </si>
  <si>
    <t xml:space="preserve"> Налог на прибыль предприятий и организаций, которые относятся к коммунальной собственности</t>
  </si>
  <si>
    <t>Налоги на собственность</t>
  </si>
  <si>
    <t>Налог с владельцев транспортных средств и других самоходных машин и механизмов</t>
  </si>
  <si>
    <t xml:space="preserve">Сборы за специальное использование природных ресурсов </t>
  </si>
  <si>
    <t>Плата за землю</t>
  </si>
  <si>
    <t>Внутренние налоги на товары и услуги</t>
  </si>
  <si>
    <t xml:space="preserve">Плата за выдачу лицензий и сертификатов </t>
  </si>
  <si>
    <t>Плата за государственную регистрацию субъектов предпринимательской деятельности</t>
  </si>
  <si>
    <t>Плата за лицензии на право розничной торговли алкогольными напитками и табачными изделиями</t>
  </si>
  <si>
    <t xml:space="preserve">Плата за торговый патент на некоторые виды                                                                                                                             предпринимательской деятельности </t>
  </si>
  <si>
    <t>Плата за приобретение торговых патентов пунктами продажи нефтепродуктов (автозаправочными станциями, заправочными пунктами)</t>
  </si>
  <si>
    <t>Неналоговые поступления</t>
  </si>
  <si>
    <t>Доходы от собственности и предпринимательской деятельности</t>
  </si>
  <si>
    <t xml:space="preserve"> Поступления от размещения  в учреждениях банков временно свободных остатков бюджетных  средств </t>
  </si>
  <si>
    <t>Поступление средств от возмещения потерь сельскохозяйственного и лесохозяйственного производства</t>
  </si>
  <si>
    <t>Административные сборы и платежи, доходы от некоммерческой  и побочной продажи</t>
  </si>
  <si>
    <t xml:space="preserve"> Плата за аренду целостных имущественных комплексов коммунального  и другого имущества </t>
  </si>
  <si>
    <t>Поступления от штрафов и финансовых санкций</t>
  </si>
  <si>
    <t>Перечисление предпринимателями части стоимости нестандартной продукции, изготовленной по разрешению на временное отклонение от требований соответствующих стандартов качества продукции, выданного Государственным комитетом Украины по стандартизации, метроло</t>
  </si>
  <si>
    <t>Административные штрафы и другие санкции</t>
  </si>
  <si>
    <t>Другие неналоговые поступления</t>
  </si>
  <si>
    <t>Поступления сумм кредиторской и депонентской задолженности  предприятий, организаций и учреждений, по которым истек срок исковой давности</t>
  </si>
  <si>
    <t>Другие поступления</t>
  </si>
  <si>
    <t>Собственные поступления бюджетных учреждений</t>
  </si>
  <si>
    <t xml:space="preserve">Поступления от приватизации имущества, которое принадлежит  Автономной Республике Крым и имущества, которое находится в коммунальной собственности </t>
  </si>
  <si>
    <t>Целевые фонды</t>
  </si>
  <si>
    <t>Сбор за загрязнение окружающей природной среды</t>
  </si>
  <si>
    <t xml:space="preserve">Целевые фонды созданные Верховным Советом Автономной Республики Крым, органами местного самоуправления и местными органами исполнительной власти </t>
  </si>
  <si>
    <t>Итого доходов</t>
  </si>
  <si>
    <t>Официальные трансферты</t>
  </si>
  <si>
    <t xml:space="preserve">Дополнительная дотация из государственного бюджета </t>
  </si>
  <si>
    <t>Прочие дотации</t>
  </si>
  <si>
    <t>Субвенции</t>
  </si>
  <si>
    <t>От правительств зарубежных стран  и международных организаций</t>
  </si>
  <si>
    <t xml:space="preserve">Гранты (подарки), которые поступили в бюджеты всех уровней </t>
  </si>
  <si>
    <t>Субвенция на выполнение инвестиционных проектов</t>
  </si>
  <si>
    <t>Субвенция на выполнение собственных полномочий</t>
  </si>
  <si>
    <t>Субвенция из государственного бюджета на строительство и приобретение жилья военнослужащим</t>
  </si>
  <si>
    <t>Средства, полученные из общего  фонда бюджета   в бюджет развития (специального фонда)</t>
  </si>
  <si>
    <t>Всего доходов</t>
  </si>
  <si>
    <t>Приложение 2</t>
  </si>
  <si>
    <t>Расходы областного бюджета на 2003 год</t>
  </si>
  <si>
    <t>по функциональной структуре</t>
  </si>
  <si>
    <t>КФКР</t>
  </si>
  <si>
    <t>Расходы бюджета по функциональной структуре</t>
  </si>
  <si>
    <t xml:space="preserve">                Расходы общего фонда</t>
  </si>
  <si>
    <t>Расходы специального фонда</t>
  </si>
  <si>
    <t>ИТОГО</t>
  </si>
  <si>
    <t xml:space="preserve">в том числе </t>
  </si>
  <si>
    <t>в том числе</t>
  </si>
  <si>
    <t>из него региональные программы</t>
  </si>
  <si>
    <t>оплата труда (код 1110)</t>
  </si>
  <si>
    <t>оплата коммунальных услуг и энергонос. (код 1160)</t>
  </si>
  <si>
    <t>другие расходы</t>
  </si>
  <si>
    <t>региональные прог-раммы и централизованные мероприя-тия</t>
  </si>
  <si>
    <t>бюджет развития</t>
  </si>
  <si>
    <t>010000</t>
  </si>
  <si>
    <t>Государственное управление</t>
  </si>
  <si>
    <t>010116</t>
  </si>
  <si>
    <t>Органы местного самоуправления</t>
  </si>
  <si>
    <t>060000</t>
  </si>
  <si>
    <t>Правоохранительная деятельность и обеспечение безопасности государства</t>
  </si>
  <si>
    <t>060100</t>
  </si>
  <si>
    <t>Органы внутренних дел</t>
  </si>
  <si>
    <t>060103</t>
  </si>
  <si>
    <t>Подразделения дорожно-патрульной службы и дорожного надзора</t>
  </si>
  <si>
    <t>060700</t>
  </si>
  <si>
    <t>Пожарная охрана</t>
  </si>
  <si>
    <t>061000</t>
  </si>
  <si>
    <t>Прочие правоохранительные органы</t>
  </si>
  <si>
    <t>061002</t>
  </si>
  <si>
    <t>Специализированные монтажно-эксплуатационные подразделения</t>
  </si>
  <si>
    <t>061003</t>
  </si>
  <si>
    <t>Адресно-справочные бюро</t>
  </si>
  <si>
    <t>061007</t>
  </si>
  <si>
    <t>Другие правоохранительные мероприятия и учреждения</t>
  </si>
  <si>
    <t>070000</t>
  </si>
  <si>
    <t>Образование</t>
  </si>
  <si>
    <t>080000</t>
  </si>
  <si>
    <t>Здравоохранение</t>
  </si>
  <si>
    <t>090000</t>
  </si>
  <si>
    <t>Социальная защита и социальное обеспечение</t>
  </si>
  <si>
    <t>090401</t>
  </si>
  <si>
    <t xml:space="preserve">Адресная социальная помощь малообеспеченным семьям </t>
  </si>
  <si>
    <t>090403</t>
  </si>
  <si>
    <t xml:space="preserve">Выплаты компенсаций реабилитированным </t>
  </si>
  <si>
    <t>090412</t>
  </si>
  <si>
    <t>Прочие расходы на социальную защиту населения</t>
  </si>
  <si>
    <t>090413</t>
  </si>
  <si>
    <t>Помощь по уходу за инвалидами I или II группы вследствие психического расстройства</t>
  </si>
  <si>
    <t>090600</t>
  </si>
  <si>
    <t>090601 090901  091210</t>
  </si>
  <si>
    <t>Дома-интернаты для малолетних инвалидов, дома-интернаты для престарелых и инвалидов, служба технадзора</t>
  </si>
  <si>
    <t>091100 091211</t>
  </si>
  <si>
    <t>Социальные программы и мероприятия в сфере семьи, женщин, молодежи и детей</t>
  </si>
  <si>
    <t>091101 091102</t>
  </si>
  <si>
    <t>в т.ч. содержание, программы и мероприятия центра социальных служб для молодежи</t>
  </si>
  <si>
    <t>091207</t>
  </si>
  <si>
    <t>Льготы, предоставляемые населению (кроме ветеранов войны и труда) на оплату жилищно-коммунальных услуг и природного газа</t>
  </si>
  <si>
    <t>091209</t>
  </si>
  <si>
    <t>Финансовая поддержка общественных организаций инвалидов и ветеранов</t>
  </si>
  <si>
    <t>091210</t>
  </si>
  <si>
    <t>091212</t>
  </si>
  <si>
    <t>Центр по начислению и выплате пенсий и пособий</t>
  </si>
  <si>
    <t>090416</t>
  </si>
  <si>
    <t xml:space="preserve">Прочие расходы на соцзащиту ветеранов войны и труда </t>
  </si>
  <si>
    <t>090700</t>
  </si>
  <si>
    <t>Приюты для несовершеннолетних</t>
  </si>
  <si>
    <t>Жилищно-коммунальное хозяйство</t>
  </si>
  <si>
    <t>в т.ч. расходы на содержание объектов социальной сферы предприятий, которыепередаються в коммунальную собственность</t>
  </si>
  <si>
    <t>Водопроводно-канализационное хозяйство (программа)</t>
  </si>
  <si>
    <t>Благоустройство городов</t>
  </si>
  <si>
    <t>Культура и искусство</t>
  </si>
  <si>
    <t>Искусство</t>
  </si>
  <si>
    <t>110200   110500</t>
  </si>
  <si>
    <t>Культура                                               Прочие мероприятия и учреждения в отрасли искусства и культуры</t>
  </si>
  <si>
    <t>Кинематография</t>
  </si>
  <si>
    <t>Средства массовой информации</t>
  </si>
  <si>
    <t>Телевидение и радиовещание</t>
  </si>
  <si>
    <t>Пресса</t>
  </si>
  <si>
    <t>Периодические издания (газеты и журналы)</t>
  </si>
  <si>
    <t>Книгоиздательство</t>
  </si>
  <si>
    <t>Издательства</t>
  </si>
  <si>
    <t>Физкультура и спорт</t>
  </si>
  <si>
    <t>Строительство</t>
  </si>
  <si>
    <t>Капитальные вложения</t>
  </si>
  <si>
    <t>Строительство и приобретение жилья для военнослужащих</t>
  </si>
  <si>
    <t>Архитектура</t>
  </si>
  <si>
    <t>Сельское лесное хозяйство, рыбное хозяйство и промыслы</t>
  </si>
  <si>
    <t>Программы в отрасли сельского хозяйства, лесного хозяйства, рыбаловства и промысла</t>
  </si>
  <si>
    <t>Транспорт, дорожное хозяйство, связь, телекоммуникации и информатика</t>
  </si>
  <si>
    <t>Автомобильный транспорт</t>
  </si>
  <si>
    <t>Местный автомобильный транспорт</t>
  </si>
  <si>
    <t>Другие виды транспорта</t>
  </si>
  <si>
    <t>Городской  электротранспорт</t>
  </si>
  <si>
    <t>Дорожное хозяйство</t>
  </si>
  <si>
    <t xml:space="preserve">Расходы на проведение работ, связанных со строительством, реконструкцией, ремонтом и  содержанием автомобильных дорог </t>
  </si>
  <si>
    <t>Программа стабилизации и социально-экономического развития территорий</t>
  </si>
  <si>
    <t>Поддержка малого и среднего предпринимательства</t>
  </si>
  <si>
    <t>180409</t>
  </si>
  <si>
    <t xml:space="preserve">Взносы органов власти Автономной Республики Крым и органов местного самоупраувления в уставные фонды субъектов предпринимательской деятельности </t>
  </si>
  <si>
    <t>Другие мероприятия, связанные с экономической деятельностью</t>
  </si>
  <si>
    <t>Охрана и рациональное использование земель</t>
  </si>
  <si>
    <t>Предупреждение и ликвидация чрезвычайных ситуаций и последствий стихийного бедствия</t>
  </si>
  <si>
    <t>Обслуживание долга</t>
  </si>
  <si>
    <t>Фонд охраны окружающей природной среды</t>
  </si>
  <si>
    <t>Охрана и рациональное использование природных ресурсов</t>
  </si>
  <si>
    <t>Утилизация отходов</t>
  </si>
  <si>
    <t>Ликвидация проченго загрязнения окружающей природной среды</t>
  </si>
  <si>
    <t>Другая деятельность в сфере окружающей природной среды</t>
  </si>
  <si>
    <t>Целевые фонды созданные органами местного самоуправления и местными органами исполнительной власти</t>
  </si>
  <si>
    <t>Резервный фонд</t>
  </si>
  <si>
    <t>Проведение выборов депутатов местных советов</t>
  </si>
  <si>
    <t>Другие расходы</t>
  </si>
  <si>
    <t xml:space="preserve">Прочие расходы  </t>
  </si>
  <si>
    <t>И Т О Г О   Р А С Х О Д О В:</t>
  </si>
  <si>
    <t>Расходы за счет субвенции из государственного бюджета</t>
  </si>
  <si>
    <t>250309</t>
  </si>
  <si>
    <t>Средства передаваемые по взаимным расчетам между местными бюджетами</t>
  </si>
  <si>
    <t>Средства, передаваемые из общего фонда бюджета в бюджет развития</t>
  </si>
  <si>
    <t>Дополнительная дотация выравнивания бюджетам городов областного значения и районам области</t>
  </si>
  <si>
    <t>Средства, передаваемые в Государственный бюджет</t>
  </si>
  <si>
    <t>Прочие субвенции</t>
  </si>
  <si>
    <t>Возврат бюджетных ссуд</t>
  </si>
  <si>
    <t>В С Е Г О   Р А С Х О Д О В:</t>
  </si>
  <si>
    <t>__________________________</t>
  </si>
  <si>
    <t xml:space="preserve"> </t>
  </si>
  <si>
    <t>Приложение 3</t>
  </si>
  <si>
    <t xml:space="preserve">              Распределение расходов областного бюджета на 2003 год</t>
  </si>
  <si>
    <t xml:space="preserve">                               по главным распорядителям средств</t>
  </si>
  <si>
    <t xml:space="preserve">  Название главного распорядителя кредитов</t>
  </si>
  <si>
    <t>региональные программы и централизованные мероприятия</t>
  </si>
  <si>
    <t>Донецкий областной совет</t>
  </si>
  <si>
    <t>070602</t>
  </si>
  <si>
    <t>Стипендии одаренным студентам III и IV уровней аккредитации</t>
  </si>
  <si>
    <t>130000</t>
  </si>
  <si>
    <t>Учреждения физкультуры и спорта, проведение учебно-тренировочных сборов и соревнований</t>
  </si>
  <si>
    <t>Прочие расходы</t>
  </si>
  <si>
    <t>250203</t>
  </si>
  <si>
    <t>Главное управление образования и науки</t>
  </si>
  <si>
    <t>Детско-юношеская спортивная школа главного  управления образования и науки</t>
  </si>
  <si>
    <t>Стипендии одаренным учащимся, студентам и аспирантам</t>
  </si>
  <si>
    <t>070701</t>
  </si>
  <si>
    <t>Центр переподготовки и повышения квалификации государственных служащих и руководителей предприятий</t>
  </si>
  <si>
    <t xml:space="preserve">Управление здравоохранения </t>
  </si>
  <si>
    <t>Лечебно-профилактические учреждения</t>
  </si>
  <si>
    <t>Региональные программы и совместные мероприятия</t>
  </si>
  <si>
    <t>Реализация государственных программ</t>
  </si>
  <si>
    <t xml:space="preserve">Высшие учреждения образования І-ІІ уровня аккредитации; прочие учреждения и мероприятия последипломного образования </t>
  </si>
  <si>
    <t>Библиотеки</t>
  </si>
  <si>
    <t>Главное управление по труду и социальной защите населения</t>
  </si>
  <si>
    <t>в т.ч. социальная поддержка учащихся профессионально - технических учебных заведений, студентов высших учебных заведений всех уровней аккредитации из числа детей-сирот и детей, лишённых родительской опеки</t>
  </si>
  <si>
    <t>090601 090901 091210</t>
  </si>
  <si>
    <t>Прочие расходы на социальную защиту ветеранов войны и труда</t>
  </si>
  <si>
    <t xml:space="preserve">Служба по делам несовершеннолетних </t>
  </si>
  <si>
    <t xml:space="preserve">091100 091211 110502  070401 </t>
  </si>
  <si>
    <t>Управление по делам семьи, молодежи и туризма</t>
  </si>
  <si>
    <t xml:space="preserve">Управление жилищно-коммунального хозяйства </t>
  </si>
  <si>
    <t>100105</t>
  </si>
  <si>
    <t xml:space="preserve">Управление культуры облгосадминистрации </t>
  </si>
  <si>
    <t>110102     110103</t>
  </si>
  <si>
    <t xml:space="preserve">Театры, филармонии, музыкальные коллективы и ансамбли и прочие мероприятия и учреждения по исскуству  </t>
  </si>
  <si>
    <t>110200  110500</t>
  </si>
  <si>
    <t xml:space="preserve">Культура                                         Прочие мероприятия и учреждения в области исскуства и культуры  </t>
  </si>
  <si>
    <t>Высшие учреждения образования І-ІІ уровня аккредитации; прочие учреждения  образования</t>
  </si>
  <si>
    <t>Стипендии одаренным учащимся и студентам</t>
  </si>
  <si>
    <t>Донецкое областное производственное объединение "Киновидеопрокат"</t>
  </si>
  <si>
    <t>Подготовка материалов к своду "Памятники истории и культуры"</t>
  </si>
  <si>
    <t>Подготовка материалов к издательству 5,6,7 томов книги "Памяти фронтовиков"</t>
  </si>
  <si>
    <t xml:space="preserve">Управление по делам прессы и информации </t>
  </si>
  <si>
    <t xml:space="preserve">Редакционная группа "Реаби-литированные историей" </t>
  </si>
  <si>
    <t xml:space="preserve">Управление по вопросам физической культуры и спорта </t>
  </si>
  <si>
    <t>Высшее училище олимпийского резерва</t>
  </si>
  <si>
    <t>Главное управление сельского хозяйства и продовольствия</t>
  </si>
  <si>
    <t>Управление по вопросам чрезвычайных ситуаций и по делам защиты от последствий Чернобыльской катастрофы</t>
  </si>
  <si>
    <t xml:space="preserve">Главное управление экономики </t>
  </si>
  <si>
    <t>Главное финансовое управление</t>
  </si>
  <si>
    <t>200200</t>
  </si>
  <si>
    <t>240600</t>
  </si>
  <si>
    <t>Фонд окружающей природной среды</t>
  </si>
  <si>
    <t>250404</t>
  </si>
  <si>
    <t>250350</t>
  </si>
  <si>
    <t>Всего по области</t>
  </si>
  <si>
    <t>Облбюджет</t>
  </si>
  <si>
    <t>Ясиноватский</t>
  </si>
  <si>
    <t>Шахтерский</t>
  </si>
  <si>
    <t>Тельмановский</t>
  </si>
  <si>
    <t>Старобешевский</t>
  </si>
  <si>
    <t>Славянский</t>
  </si>
  <si>
    <t>Першотравневый</t>
  </si>
  <si>
    <t>Новоазовский</t>
  </si>
  <si>
    <t>Марьинский</t>
  </si>
  <si>
    <t>Красноармейский</t>
  </si>
  <si>
    <t>Константиновский</t>
  </si>
  <si>
    <t>Добропольский</t>
  </si>
  <si>
    <t>Володарский</t>
  </si>
  <si>
    <t>Волновахский</t>
  </si>
  <si>
    <t>В-Новоселковский</t>
  </si>
  <si>
    <t>Артемовский</t>
  </si>
  <si>
    <t>Амвросиевский</t>
  </si>
  <si>
    <t>Александровский</t>
  </si>
  <si>
    <t>Ясиноватая</t>
  </si>
  <si>
    <t>Шахтерск</t>
  </si>
  <si>
    <t>Харцизск</t>
  </si>
  <si>
    <t>Угледар</t>
  </si>
  <si>
    <t>Торез</t>
  </si>
  <si>
    <t>Снежное</t>
  </si>
  <si>
    <t>Славянск</t>
  </si>
  <si>
    <t>Селидово</t>
  </si>
  <si>
    <t>Новогродовка</t>
  </si>
  <si>
    <t>Мариуполь</t>
  </si>
  <si>
    <t>Макеевка</t>
  </si>
  <si>
    <t>Красный Лиман</t>
  </si>
  <si>
    <t>Красноармейск</t>
  </si>
  <si>
    <t>Краматорск</t>
  </si>
  <si>
    <t>Константиновка</t>
  </si>
  <si>
    <t>Кировск</t>
  </si>
  <si>
    <t>Ждановка</t>
  </si>
  <si>
    <t>Енакиево</t>
  </si>
  <si>
    <t>Дружковка</t>
  </si>
  <si>
    <t>Донецк</t>
  </si>
  <si>
    <t>Докучаевск</t>
  </si>
  <si>
    <t>Доброполье</t>
  </si>
  <si>
    <t>Димитрово</t>
  </si>
  <si>
    <t>Дзержинск</t>
  </si>
  <si>
    <t>Дебальцево</t>
  </si>
  <si>
    <t>Горловка</t>
  </si>
  <si>
    <t>Артемовск</t>
  </si>
  <si>
    <t>Авдеевка</t>
  </si>
  <si>
    <t>железно-дорожным транспор-том</t>
  </si>
  <si>
    <t>воздуш-ным транс-портом</t>
  </si>
  <si>
    <t>санаторно-курортное лечение, компенсация расходов на автомобильное топливо, захоронение, сооружение памятников, одноразовая помощь  в случае смерти</t>
  </si>
  <si>
    <t>капитальный ремонт домов (квартир)</t>
  </si>
  <si>
    <t>капитальный ремонт домов (квартир), санаторно-курортное лечение, компенсация расходов на автомобильное топливо, захоронение, сооружение памятников, одноразовая помощь  в случае смерти</t>
  </si>
  <si>
    <t xml:space="preserve">компенсация за льготный междугородний проезд </t>
  </si>
  <si>
    <t>льготы на услуги связи</t>
  </si>
  <si>
    <t>компенсация за льготный проезд в городском и пригородном электро- и автотранспорте отдельных категорий граждан</t>
  </si>
  <si>
    <t>предоставление льгот гражданам, которые пострадали вследствие Чернобыльской катастрофы на оплату электроэнергии, природного газа, услуг тепло-, водоснабжения и водоотвода, квартирной платы, транспортных услуг, услуг связи и на приобретение твердого и жидкого бытового топлива лицам, которые проживают в домах, не имеющих центрального отопления</t>
  </si>
  <si>
    <t>в т.ч.</t>
  </si>
  <si>
    <t>предоставление  льгот ветеранам войны и труда, ветеранам военной службы, ветеранам органов внутренних дел, предусмотренных действующим законодательством (кроме льгот на получение лекарств и зубопротезирования, оплату электроэнергии, природного и сжиженного газа, твердого и жидкого печного бытового топлива, услуг тепло-, водоснабжения, водоотвода, квартирной платы, вывозу мусора и жидких нечистот) и компенсацию за льготный проезд  отдельных категорий граждан, всего</t>
  </si>
  <si>
    <t>предоставление  льгот ветеранам войны и труда, ветеранам военной службы, ветеранам органов внутренних дел и субсидий населению на приобретение твердого и жидкого печного бытового топлива и сжиженного газа</t>
  </si>
  <si>
    <t>предоставление  льгот ветеранам войны и труда, ветеранам военной службы, ветеранам органов внутренних дел, гражданам, которые стали инвалидами вследствие репрессий или являются пенсионерами, и субсидий населению на оплату электроэнергии, природного газа, услуг тепло-, водоснабжения и водоотвода, квартплаты, вывозу бытового мусора и жидких нечистот</t>
  </si>
  <si>
    <t>выплату помощи семьям с детьми, малообеспе-ченным сем"ям, инвалидам с детства и детям-инвалидам</t>
  </si>
  <si>
    <t>Субвенция из госбюджета на реализацию программ социальной защиты населения на:</t>
  </si>
  <si>
    <t>Наименование административно-территориальных единиц</t>
  </si>
  <si>
    <t>тис.грн.</t>
  </si>
  <si>
    <t>Распределение между бюджетами городов областного значения и районов области сумм субвенции из государственного бюджета на выполнение отдельных социальных программ, предусмотренных                                                                                                                                                                                                                                                ст. 40 Закона Украины "О государственном бюджете на 2003 год"</t>
  </si>
  <si>
    <t xml:space="preserve">к решению областного совета </t>
  </si>
  <si>
    <t>Приложение № 4</t>
  </si>
  <si>
    <t>Приложение 7</t>
  </si>
  <si>
    <t>Распределение субвенций из областного бюджета бюджетам                       городов и районов</t>
  </si>
  <si>
    <t>тыс.грн.</t>
  </si>
  <si>
    <t>Субвенция на обеспечение выплаты заработной платы работникам бюджетной сферы</t>
  </si>
  <si>
    <t>Субвенция на проведение мероприятий по профилактике инфекционных заболеваний населения области</t>
  </si>
  <si>
    <t xml:space="preserve"> Расходы, не отнесенные к основным  группам</t>
  </si>
  <si>
    <t>120300</t>
  </si>
  <si>
    <t>Финасовая поддержка на издание юбилейного выпуска журнала "Донбасс"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</si>
</sst>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"/>
    <numFmt numFmtId="165" formatCode="0.0"/>
  </numFmts>
  <fonts count="22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i/>
      <sz val="10"/>
      <name val="Arial Cyr"/>
      <family val="0"/>
    </font>
    <font>
      <sz val="10"/>
      <name val="Times New Roman Cyr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 shrinkToFit="1"/>
    </xf>
    <xf numFmtId="0" fontId="2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 wrapText="1" shrinkToFit="1"/>
    </xf>
    <xf numFmtId="164" fontId="2" fillId="0" borderId="6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 wrapText="1" shrinkToFit="1"/>
    </xf>
    <xf numFmtId="164" fontId="2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wrapText="1" shrinkToFit="1"/>
    </xf>
    <xf numFmtId="164" fontId="2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 wrapText="1" shrinkToFit="1"/>
    </xf>
    <xf numFmtId="164" fontId="6" fillId="0" borderId="6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left" wrapText="1" shrinkToFit="1"/>
    </xf>
    <xf numFmtId="164" fontId="8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 shrinkToFit="1"/>
    </xf>
    <xf numFmtId="164" fontId="1" fillId="0" borderId="0" xfId="0" applyNumberFormat="1" applyFont="1" applyFill="1" applyAlignment="1">
      <alignment horizontal="center"/>
    </xf>
    <xf numFmtId="0" fontId="2" fillId="0" borderId="6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164" fontId="5" fillId="0" borderId="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wrapText="1"/>
    </xf>
    <xf numFmtId="164" fontId="2" fillId="0" borderId="7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wrapText="1"/>
    </xf>
    <xf numFmtId="164" fontId="5" fillId="0" borderId="7" xfId="0" applyNumberFormat="1" applyFont="1" applyFill="1" applyBorder="1" applyAlignment="1">
      <alignment/>
    </xf>
    <xf numFmtId="49" fontId="2" fillId="0" borderId="6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2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164" fontId="2" fillId="2" borderId="7" xfId="0" applyNumberFormat="1" applyFont="1" applyFill="1" applyBorder="1" applyAlignment="1">
      <alignment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165" fontId="5" fillId="0" borderId="0" xfId="0" applyNumberFormat="1" applyFont="1" applyFill="1" applyAlignment="1">
      <alignment/>
    </xf>
    <xf numFmtId="49" fontId="2" fillId="0" borderId="6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6" xfId="0" applyNumberFormat="1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right" vertical="top"/>
    </xf>
    <xf numFmtId="0" fontId="5" fillId="0" borderId="7" xfId="0" applyNumberFormat="1" applyFont="1" applyFill="1" applyBorder="1" applyAlignment="1">
      <alignment horizontal="left" vertical="center" wrapText="1"/>
    </xf>
    <xf numFmtId="164" fontId="5" fillId="0" borderId="7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8" fillId="0" borderId="6" xfId="0" applyFont="1" applyFill="1" applyBorder="1" applyAlignment="1">
      <alignment horizontal="left" vertical="center" wrapText="1"/>
    </xf>
    <xf numFmtId="164" fontId="8" fillId="0" borderId="7" xfId="0" applyNumberFormat="1" applyFont="1" applyFill="1" applyBorder="1" applyAlignment="1">
      <alignment/>
    </xf>
    <xf numFmtId="164" fontId="5" fillId="0" borderId="6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right"/>
    </xf>
    <xf numFmtId="0" fontId="1" fillId="0" borderId="7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centerContinuous" vertical="center" wrapText="1"/>
    </xf>
    <xf numFmtId="49" fontId="5" fillId="0" borderId="6" xfId="0" applyNumberFormat="1" applyFont="1" applyFill="1" applyBorder="1" applyAlignment="1">
      <alignment horizontal="centerContinuous"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49" fontId="5" fillId="0" borderId="6" xfId="0" applyNumberFormat="1" applyFont="1" applyFill="1" applyBorder="1" applyAlignment="1">
      <alignment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164" fontId="11" fillId="0" borderId="7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6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165" fontId="2" fillId="0" borderId="17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64" fontId="13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16" fillId="0" borderId="5" xfId="0" applyNumberFormat="1" applyFont="1" applyFill="1" applyBorder="1" applyAlignment="1">
      <alignment horizontal="center"/>
    </xf>
    <xf numFmtId="164" fontId="16" fillId="0" borderId="18" xfId="0" applyNumberFormat="1" applyFont="1" applyFill="1" applyBorder="1" applyAlignment="1">
      <alignment horizontal="center"/>
    </xf>
    <xf numFmtId="164" fontId="17" fillId="0" borderId="5" xfId="0" applyNumberFormat="1" applyFont="1" applyBorder="1" applyAlignment="1">
      <alignment horizontal="center"/>
    </xf>
    <xf numFmtId="165" fontId="17" fillId="0" borderId="5" xfId="0" applyNumberFormat="1" applyFont="1" applyFill="1" applyBorder="1" applyAlignment="1">
      <alignment horizontal="center"/>
    </xf>
    <xf numFmtId="164" fontId="16" fillId="0" borderId="5" xfId="0" applyNumberFormat="1" applyFont="1" applyBorder="1" applyAlignment="1" applyProtection="1">
      <alignment horizontal="center"/>
      <protection/>
    </xf>
    <xf numFmtId="164" fontId="17" fillId="0" borderId="19" xfId="0" applyNumberFormat="1" applyFont="1" applyBorder="1" applyAlignment="1">
      <alignment horizontal="center"/>
    </xf>
    <xf numFmtId="0" fontId="17" fillId="0" borderId="5" xfId="0" applyFont="1" applyBorder="1" applyAlignment="1">
      <alignment/>
    </xf>
    <xf numFmtId="164" fontId="17" fillId="0" borderId="7" xfId="0" applyNumberFormat="1" applyFont="1" applyBorder="1" applyAlignment="1">
      <alignment horizontal="center"/>
    </xf>
    <xf numFmtId="164" fontId="16" fillId="0" borderId="20" xfId="0" applyNumberFormat="1" applyFont="1" applyBorder="1" applyAlignment="1">
      <alignment horizontal="center"/>
    </xf>
    <xf numFmtId="164" fontId="15" fillId="0" borderId="20" xfId="0" applyNumberFormat="1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164" fontId="9" fillId="0" borderId="20" xfId="0" applyNumberFormat="1" applyFont="1" applyBorder="1" applyAlignment="1" applyProtection="1">
      <alignment horizontal="center"/>
      <protection/>
    </xf>
    <xf numFmtId="164" fontId="9" fillId="0" borderId="20" xfId="0" applyNumberFormat="1" applyFont="1" applyFill="1" applyBorder="1" applyAlignment="1">
      <alignment horizontal="center"/>
    </xf>
    <xf numFmtId="0" fontId="14" fillId="0" borderId="21" xfId="0" applyFont="1" applyBorder="1" applyAlignment="1">
      <alignment/>
    </xf>
    <xf numFmtId="165" fontId="14" fillId="0" borderId="0" xfId="0" applyNumberFormat="1" applyFont="1" applyAlignment="1">
      <alignment/>
    </xf>
    <xf numFmtId="164" fontId="9" fillId="0" borderId="6" xfId="0" applyNumberFormat="1" applyFont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5" fontId="15" fillId="0" borderId="7" xfId="0" applyNumberFormat="1" applyFont="1" applyFill="1" applyBorder="1" applyAlignment="1">
      <alignment horizontal="center"/>
    </xf>
    <xf numFmtId="164" fontId="9" fillId="0" borderId="6" xfId="0" applyNumberFormat="1" applyFont="1" applyBorder="1" applyAlignment="1" applyProtection="1">
      <alignment horizontal="center"/>
      <protection/>
    </xf>
    <xf numFmtId="164" fontId="9" fillId="0" borderId="6" xfId="0" applyNumberFormat="1" applyFont="1" applyFill="1" applyBorder="1" applyAlignment="1">
      <alignment horizontal="center"/>
    </xf>
    <xf numFmtId="0" fontId="14" fillId="0" borderId="6" xfId="0" applyFont="1" applyBorder="1" applyAlignment="1">
      <alignment/>
    </xf>
    <xf numFmtId="165" fontId="15" fillId="0" borderId="6" xfId="0" applyNumberFormat="1" applyFont="1" applyFill="1" applyBorder="1" applyAlignment="1">
      <alignment horizontal="center"/>
    </xf>
    <xf numFmtId="0" fontId="14" fillId="2" borderId="7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9" fontId="18" fillId="0" borderId="3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 shrinkToFit="1"/>
    </xf>
    <xf numFmtId="0" fontId="2" fillId="0" borderId="22" xfId="0" applyFont="1" applyBorder="1" applyAlignment="1">
      <alignment horizontal="center" wrapText="1" shrinkToFi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top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/>
    </xf>
    <xf numFmtId="9" fontId="18" fillId="0" borderId="20" xfId="0" applyNumberFormat="1" applyFont="1" applyFill="1" applyBorder="1" applyAlignment="1">
      <alignment horizontal="center" vertical="center" wrapText="1"/>
    </xf>
    <xf numFmtId="9" fontId="18" fillId="0" borderId="3" xfId="0" applyNumberFormat="1" applyFont="1" applyFill="1" applyBorder="1" applyAlignment="1">
      <alignment horizontal="center" vertical="center" wrapText="1"/>
    </xf>
    <xf numFmtId="9" fontId="18" fillId="0" borderId="7" xfId="0" applyNumberFormat="1" applyFont="1" applyFill="1" applyBorder="1" applyAlignment="1">
      <alignment horizontal="center" vertical="center" wrapText="1"/>
    </xf>
    <xf numFmtId="9" fontId="18" fillId="0" borderId="6" xfId="0" applyNumberFormat="1" applyFont="1" applyFill="1" applyBorder="1" applyAlignment="1">
      <alignment horizontal="center" vertical="center" wrapText="1"/>
    </xf>
    <xf numFmtId="9" fontId="17" fillId="0" borderId="20" xfId="0" applyNumberFormat="1" applyFont="1" applyFill="1" applyBorder="1" applyAlignment="1">
      <alignment horizontal="center" vertical="center" wrapText="1"/>
    </xf>
    <xf numFmtId="9" fontId="17" fillId="0" borderId="3" xfId="0" applyNumberFormat="1" applyFont="1" applyFill="1" applyBorder="1" applyAlignment="1">
      <alignment horizontal="center" vertical="center" wrapText="1"/>
    </xf>
    <xf numFmtId="9" fontId="17" fillId="0" borderId="7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8" fillId="0" borderId="2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view="pageBreakPreview" zoomScale="65" zoomScaleNormal="65" zoomScaleSheetLayoutView="65" workbookViewId="0" topLeftCell="A45">
      <selection activeCell="F56" sqref="F56"/>
    </sheetView>
  </sheetViews>
  <sheetFormatPr defaultColWidth="9.00390625" defaultRowHeight="12.75"/>
  <cols>
    <col min="1" max="1" width="9.875" style="1" customWidth="1"/>
    <col min="2" max="2" width="31.00390625" style="3" customWidth="1"/>
    <col min="3" max="3" width="10.00390625" style="1" customWidth="1"/>
    <col min="4" max="4" width="16.125" style="1" customWidth="1"/>
    <col min="5" max="5" width="9.875" style="1" customWidth="1"/>
    <col min="6" max="6" width="14.75390625" style="1" customWidth="1"/>
    <col min="7" max="16384" width="9.125" style="1" customWidth="1"/>
  </cols>
  <sheetData>
    <row r="1" spans="2:5" ht="12.75">
      <c r="B1" s="1"/>
      <c r="E1" s="2" t="s">
        <v>0</v>
      </c>
    </row>
    <row r="2" ht="12.75">
      <c r="E2" s="2" t="s">
        <v>1</v>
      </c>
    </row>
    <row r="3" spans="5:6" ht="14.25" customHeight="1">
      <c r="E3" s="187"/>
      <c r="F3" s="187"/>
    </row>
    <row r="4" ht="3.75" customHeight="1" hidden="1"/>
    <row r="5" spans="3:6" ht="15" customHeight="1">
      <c r="C5" s="4" t="s">
        <v>2</v>
      </c>
      <c r="D5" s="5"/>
      <c r="E5" s="5"/>
      <c r="F5" s="5"/>
    </row>
    <row r="6" ht="12.75" customHeight="1">
      <c r="F6" s="6" t="s">
        <v>3</v>
      </c>
    </row>
    <row r="7" ht="3.75" customHeight="1" thickBot="1"/>
    <row r="8" ht="12" customHeight="1" hidden="1"/>
    <row r="9" spans="1:6" ht="13.5" thickBot="1">
      <c r="A9" s="188" t="s">
        <v>4</v>
      </c>
      <c r="B9" s="190" t="s">
        <v>5</v>
      </c>
      <c r="C9" s="192" t="s">
        <v>6</v>
      </c>
      <c r="D9" s="7" t="s">
        <v>7</v>
      </c>
      <c r="E9" s="8"/>
      <c r="F9" s="194" t="s">
        <v>8</v>
      </c>
    </row>
    <row r="10" spans="1:6" ht="39" thickBot="1">
      <c r="A10" s="189"/>
      <c r="B10" s="191"/>
      <c r="C10" s="193"/>
      <c r="D10" s="9" t="s">
        <v>8</v>
      </c>
      <c r="E10" s="10" t="s">
        <v>9</v>
      </c>
      <c r="F10" s="195"/>
    </row>
    <row r="11" spans="1:6" ht="13.5" thickBot="1">
      <c r="A11" s="11">
        <v>1</v>
      </c>
      <c r="B11" s="12">
        <v>2</v>
      </c>
      <c r="C11" s="13">
        <v>3</v>
      </c>
      <c r="D11" s="13">
        <v>4</v>
      </c>
      <c r="E11" s="13">
        <v>5</v>
      </c>
      <c r="F11" s="13" t="s">
        <v>10</v>
      </c>
    </row>
    <row r="12" spans="1:7" s="19" customFormat="1" ht="12.75">
      <c r="A12" s="14">
        <v>10000000</v>
      </c>
      <c r="B12" s="15" t="s">
        <v>11</v>
      </c>
      <c r="C12" s="16">
        <f>C13+C19+C21</f>
        <v>463427.8</v>
      </c>
      <c r="D12" s="16">
        <f>D17+D21</f>
        <v>27817.1</v>
      </c>
      <c r="E12" s="16" t="s">
        <v>12</v>
      </c>
      <c r="F12" s="17">
        <f>C12+D12</f>
        <v>491244.89999999997</v>
      </c>
      <c r="G12" s="18"/>
    </row>
    <row r="13" spans="1:6" ht="38.25">
      <c r="A13" s="20">
        <v>11000000</v>
      </c>
      <c r="B13" s="21" t="s">
        <v>13</v>
      </c>
      <c r="C13" s="22">
        <f>C14+C15</f>
        <v>389097.8</v>
      </c>
      <c r="D13" s="22" t="s">
        <v>12</v>
      </c>
      <c r="E13" s="22" t="s">
        <v>12</v>
      </c>
      <c r="F13" s="22">
        <f>F14+F15</f>
        <v>389097.8</v>
      </c>
    </row>
    <row r="14" spans="1:6" ht="12.75">
      <c r="A14" s="20">
        <v>11010000</v>
      </c>
      <c r="B14" s="21" t="s">
        <v>14</v>
      </c>
      <c r="C14" s="23">
        <f>362371.6+1615.7+9070.1+128.9+1754.7+800+3358.4+76+1141.6+10530.8-2650+400</f>
        <v>388597.8</v>
      </c>
      <c r="D14" s="22" t="s">
        <v>12</v>
      </c>
      <c r="E14" s="22" t="s">
        <v>12</v>
      </c>
      <c r="F14" s="22">
        <f>C14</f>
        <v>388597.8</v>
      </c>
    </row>
    <row r="15" spans="1:6" ht="12.75">
      <c r="A15" s="20">
        <v>11020000</v>
      </c>
      <c r="B15" s="21" t="s">
        <v>15</v>
      </c>
      <c r="C15" s="22">
        <f>C16</f>
        <v>500</v>
      </c>
      <c r="D15" s="22" t="s">
        <v>12</v>
      </c>
      <c r="E15" s="22" t="s">
        <v>12</v>
      </c>
      <c r="F15" s="22">
        <f>C15</f>
        <v>500</v>
      </c>
    </row>
    <row r="16" spans="1:6" ht="38.25">
      <c r="A16" s="20">
        <v>11020200</v>
      </c>
      <c r="B16" s="21" t="s">
        <v>16</v>
      </c>
      <c r="C16" s="23">
        <f>7500+643.3+1300+350-3426.4+0.1-5867</f>
        <v>500</v>
      </c>
      <c r="D16" s="22" t="s">
        <v>12</v>
      </c>
      <c r="E16" s="22" t="s">
        <v>12</v>
      </c>
      <c r="F16" s="22">
        <f>C16</f>
        <v>500</v>
      </c>
    </row>
    <row r="17" spans="1:6" ht="12.75">
      <c r="A17" s="20">
        <v>12000000</v>
      </c>
      <c r="B17" s="21" t="s">
        <v>17</v>
      </c>
      <c r="C17" s="22" t="s">
        <v>12</v>
      </c>
      <c r="D17" s="22">
        <f>D18</f>
        <v>26567.1</v>
      </c>
      <c r="E17" s="22" t="s">
        <v>12</v>
      </c>
      <c r="F17" s="22">
        <f>F18</f>
        <v>26567.1</v>
      </c>
    </row>
    <row r="18" spans="1:6" ht="38.25">
      <c r="A18" s="20">
        <v>12020000</v>
      </c>
      <c r="B18" s="21" t="s">
        <v>18</v>
      </c>
      <c r="C18" s="22" t="s">
        <v>12</v>
      </c>
      <c r="D18" s="23">
        <v>26567.1</v>
      </c>
      <c r="E18" s="22" t="s">
        <v>12</v>
      </c>
      <c r="F18" s="22">
        <v>26567.1</v>
      </c>
    </row>
    <row r="19" spans="1:6" ht="25.5">
      <c r="A19" s="20">
        <v>13000000</v>
      </c>
      <c r="B19" s="21" t="s">
        <v>19</v>
      </c>
      <c r="C19" s="22">
        <f>C20</f>
        <v>61000</v>
      </c>
      <c r="D19" s="22" t="s">
        <v>12</v>
      </c>
      <c r="E19" s="22" t="s">
        <v>12</v>
      </c>
      <c r="F19" s="22">
        <f>F20</f>
        <v>61000</v>
      </c>
    </row>
    <row r="20" spans="1:6" ht="12.75">
      <c r="A20" s="20">
        <v>13050000</v>
      </c>
      <c r="B20" s="21" t="s">
        <v>20</v>
      </c>
      <c r="C20" s="23">
        <v>61000</v>
      </c>
      <c r="D20" s="22" t="s">
        <v>12</v>
      </c>
      <c r="E20" s="22" t="s">
        <v>12</v>
      </c>
      <c r="F20" s="22">
        <v>61000</v>
      </c>
    </row>
    <row r="21" spans="1:6" ht="13.5" customHeight="1">
      <c r="A21" s="20">
        <v>14000000</v>
      </c>
      <c r="B21" s="21" t="s">
        <v>21</v>
      </c>
      <c r="C21" s="22">
        <f>C22+C23+C24</f>
        <v>13330</v>
      </c>
      <c r="D21" s="22">
        <f>D25</f>
        <v>1250</v>
      </c>
      <c r="E21" s="22" t="s">
        <v>12</v>
      </c>
      <c r="F21" s="22">
        <f>C21+D21</f>
        <v>14580</v>
      </c>
    </row>
    <row r="22" spans="1:6" ht="25.5">
      <c r="A22" s="20">
        <v>14060200</v>
      </c>
      <c r="B22" s="21" t="s">
        <v>22</v>
      </c>
      <c r="C22" s="23">
        <v>300</v>
      </c>
      <c r="D22" s="22" t="s">
        <v>12</v>
      </c>
      <c r="E22" s="22" t="s">
        <v>12</v>
      </c>
      <c r="F22" s="22">
        <f>C22</f>
        <v>300</v>
      </c>
    </row>
    <row r="23" spans="1:6" ht="38.25">
      <c r="A23" s="20">
        <v>14060300</v>
      </c>
      <c r="B23" s="21" t="s">
        <v>23</v>
      </c>
      <c r="C23" s="23">
        <v>30</v>
      </c>
      <c r="D23" s="22" t="s">
        <v>12</v>
      </c>
      <c r="E23" s="22" t="s">
        <v>12</v>
      </c>
      <c r="F23" s="22">
        <f>C23</f>
        <v>30</v>
      </c>
    </row>
    <row r="24" spans="1:6" ht="38.25">
      <c r="A24" s="20">
        <v>14061100</v>
      </c>
      <c r="B24" s="21" t="s">
        <v>24</v>
      </c>
      <c r="C24" s="23">
        <v>13000</v>
      </c>
      <c r="D24" s="22" t="s">
        <v>12</v>
      </c>
      <c r="E24" s="22" t="s">
        <v>12</v>
      </c>
      <c r="F24" s="22">
        <f>C24</f>
        <v>13000</v>
      </c>
    </row>
    <row r="25" spans="1:6" ht="38.25">
      <c r="A25" s="20">
        <v>14070000</v>
      </c>
      <c r="B25" s="21" t="s">
        <v>25</v>
      </c>
      <c r="C25" s="22" t="s">
        <v>12</v>
      </c>
      <c r="D25" s="22">
        <f>D26</f>
        <v>1250</v>
      </c>
      <c r="E25" s="22" t="s">
        <v>12</v>
      </c>
      <c r="F25" s="22">
        <f>F26</f>
        <v>1250</v>
      </c>
    </row>
    <row r="26" spans="1:6" ht="63.75">
      <c r="A26" s="20">
        <v>14071500</v>
      </c>
      <c r="B26" s="21" t="s">
        <v>26</v>
      </c>
      <c r="C26" s="22" t="s">
        <v>12</v>
      </c>
      <c r="D26" s="23">
        <v>1250</v>
      </c>
      <c r="E26" s="22" t="s">
        <v>12</v>
      </c>
      <c r="F26" s="22">
        <f>D26</f>
        <v>1250</v>
      </c>
    </row>
    <row r="27" spans="1:6" s="19" customFormat="1" ht="12.75">
      <c r="A27" s="14">
        <v>20000000</v>
      </c>
      <c r="B27" s="15" t="s">
        <v>27</v>
      </c>
      <c r="C27" s="16">
        <f>C28+C31+C33+C36</f>
        <v>5860.6</v>
      </c>
      <c r="D27" s="16">
        <f>D30+D40</f>
        <v>17232.3</v>
      </c>
      <c r="E27" s="16" t="s">
        <v>12</v>
      </c>
      <c r="F27" s="16">
        <f>C27+D27</f>
        <v>23092.9</v>
      </c>
    </row>
    <row r="28" spans="1:6" ht="25.5">
      <c r="A28" s="20">
        <v>21000000</v>
      </c>
      <c r="B28" s="21" t="s">
        <v>28</v>
      </c>
      <c r="C28" s="22">
        <f>C29</f>
        <v>3500</v>
      </c>
      <c r="D28" s="22" t="s">
        <v>12</v>
      </c>
      <c r="E28" s="22" t="s">
        <v>12</v>
      </c>
      <c r="F28" s="22">
        <f>C28</f>
        <v>3500</v>
      </c>
    </row>
    <row r="29" spans="1:6" ht="51">
      <c r="A29" s="20">
        <v>21040000</v>
      </c>
      <c r="B29" s="21" t="s">
        <v>29</v>
      </c>
      <c r="C29" s="22">
        <f>1500+500+1500</f>
        <v>3500</v>
      </c>
      <c r="D29" s="22" t="s">
        <v>12</v>
      </c>
      <c r="E29" s="22" t="s">
        <v>12</v>
      </c>
      <c r="F29" s="22">
        <f>C29</f>
        <v>3500</v>
      </c>
    </row>
    <row r="30" spans="1:6" ht="38.25">
      <c r="A30" s="20">
        <v>21110000</v>
      </c>
      <c r="B30" s="21" t="s">
        <v>30</v>
      </c>
      <c r="C30" s="22" t="s">
        <v>12</v>
      </c>
      <c r="D30" s="22">
        <v>742.9</v>
      </c>
      <c r="E30" s="22" t="s">
        <v>12</v>
      </c>
      <c r="F30" s="22">
        <f>D30</f>
        <v>742.9</v>
      </c>
    </row>
    <row r="31" spans="1:6" ht="51">
      <c r="A31" s="20">
        <v>22000000</v>
      </c>
      <c r="B31" s="21" t="s">
        <v>31</v>
      </c>
      <c r="C31" s="22">
        <f>C32</f>
        <v>750.3</v>
      </c>
      <c r="D31" s="22" t="s">
        <v>12</v>
      </c>
      <c r="E31" s="22" t="s">
        <v>12</v>
      </c>
      <c r="F31" s="22">
        <f>C31</f>
        <v>750.3</v>
      </c>
    </row>
    <row r="32" spans="1:6" ht="38.25" customHeight="1">
      <c r="A32" s="20">
        <v>22080000</v>
      </c>
      <c r="B32" s="24" t="s">
        <v>32</v>
      </c>
      <c r="C32" s="23">
        <v>750.3</v>
      </c>
      <c r="D32" s="22" t="s">
        <v>12</v>
      </c>
      <c r="E32" s="22" t="s">
        <v>12</v>
      </c>
      <c r="F32" s="22">
        <f>C32</f>
        <v>750.3</v>
      </c>
    </row>
    <row r="33" spans="1:6" ht="25.5">
      <c r="A33" s="20">
        <v>23000000</v>
      </c>
      <c r="B33" s="21" t="s">
        <v>33</v>
      </c>
      <c r="C33" s="22">
        <v>111</v>
      </c>
      <c r="D33" s="22" t="s">
        <v>12</v>
      </c>
      <c r="E33" s="22" t="s">
        <v>12</v>
      </c>
      <c r="F33" s="22">
        <f>C33</f>
        <v>111</v>
      </c>
    </row>
    <row r="34" spans="1:6" ht="127.5" hidden="1">
      <c r="A34" s="20">
        <v>23020000</v>
      </c>
      <c r="B34" s="21" t="s">
        <v>34</v>
      </c>
      <c r="C34" s="25" t="s">
        <v>12</v>
      </c>
      <c r="D34" s="25" t="s">
        <v>12</v>
      </c>
      <c r="E34" s="25" t="s">
        <v>12</v>
      </c>
      <c r="F34" s="25" t="s">
        <v>12</v>
      </c>
    </row>
    <row r="35" spans="1:6" ht="25.5">
      <c r="A35" s="20">
        <v>23030000</v>
      </c>
      <c r="B35" s="21" t="s">
        <v>35</v>
      </c>
      <c r="C35" s="23">
        <v>111</v>
      </c>
      <c r="D35" s="22" t="s">
        <v>12</v>
      </c>
      <c r="E35" s="22" t="s">
        <v>12</v>
      </c>
      <c r="F35" s="22">
        <f>C35</f>
        <v>111</v>
      </c>
    </row>
    <row r="36" spans="1:6" ht="12.75">
      <c r="A36" s="20">
        <v>24000000</v>
      </c>
      <c r="B36" s="21" t="s">
        <v>36</v>
      </c>
      <c r="C36" s="23">
        <f>C39</f>
        <v>1499.3</v>
      </c>
      <c r="D36" s="22" t="s">
        <v>12</v>
      </c>
      <c r="E36" s="22" t="s">
        <v>12</v>
      </c>
      <c r="F36" s="22">
        <f>C36</f>
        <v>1499.3</v>
      </c>
    </row>
    <row r="37" spans="1:6" ht="12.75" hidden="1">
      <c r="A37" s="20"/>
      <c r="B37" s="21"/>
      <c r="C37" s="22">
        <v>0</v>
      </c>
      <c r="D37" s="22" t="s">
        <v>12</v>
      </c>
      <c r="E37" s="22" t="s">
        <v>12</v>
      </c>
      <c r="F37" s="22">
        <v>0</v>
      </c>
    </row>
    <row r="38" spans="1:6" ht="63.75" hidden="1">
      <c r="A38" s="20">
        <v>24030000</v>
      </c>
      <c r="B38" s="21" t="s">
        <v>37</v>
      </c>
      <c r="C38" s="25" t="s">
        <v>12</v>
      </c>
      <c r="D38" s="25" t="s">
        <v>12</v>
      </c>
      <c r="E38" s="25" t="s">
        <v>12</v>
      </c>
      <c r="F38" s="25" t="s">
        <v>12</v>
      </c>
    </row>
    <row r="39" spans="1:6" ht="12.75">
      <c r="A39" s="20">
        <v>24060300</v>
      </c>
      <c r="B39" s="21" t="s">
        <v>38</v>
      </c>
      <c r="C39" s="22">
        <f>115+1384.3</f>
        <v>1499.3</v>
      </c>
      <c r="D39" s="22" t="s">
        <v>12</v>
      </c>
      <c r="E39" s="22" t="s">
        <v>12</v>
      </c>
      <c r="F39" s="22">
        <f>C39</f>
        <v>1499.3</v>
      </c>
    </row>
    <row r="40" spans="1:6" ht="25.5">
      <c r="A40" s="20">
        <v>25000000</v>
      </c>
      <c r="B40" s="21" t="s">
        <v>39</v>
      </c>
      <c r="C40" s="22" t="s">
        <v>12</v>
      </c>
      <c r="D40" s="23">
        <f>12870.3+3619.1</f>
        <v>16489.399999999998</v>
      </c>
      <c r="E40" s="22" t="s">
        <v>12</v>
      </c>
      <c r="F40" s="22">
        <f>D40</f>
        <v>16489.399999999998</v>
      </c>
    </row>
    <row r="41" spans="1:6" ht="63.75">
      <c r="A41" s="20">
        <v>31030000</v>
      </c>
      <c r="B41" s="21" t="s">
        <v>40</v>
      </c>
      <c r="C41" s="22" t="s">
        <v>12</v>
      </c>
      <c r="D41" s="23">
        <v>1452.5</v>
      </c>
      <c r="E41" s="23">
        <f>D41</f>
        <v>1452.5</v>
      </c>
      <c r="F41" s="22">
        <f>D41</f>
        <v>1452.5</v>
      </c>
    </row>
    <row r="42" spans="1:6" ht="12.75">
      <c r="A42" s="20">
        <v>50000000</v>
      </c>
      <c r="B42" s="21" t="s">
        <v>41</v>
      </c>
      <c r="C42" s="22" t="s">
        <v>12</v>
      </c>
      <c r="D42" s="22">
        <f>D43+D44</f>
        <v>27121.699999999997</v>
      </c>
      <c r="E42" s="22" t="s">
        <v>12</v>
      </c>
      <c r="F42" s="22">
        <f>D42</f>
        <v>27121.699999999997</v>
      </c>
    </row>
    <row r="43" spans="1:6" ht="25.5">
      <c r="A43" s="20">
        <v>50080000</v>
      </c>
      <c r="B43" s="21" t="s">
        <v>42</v>
      </c>
      <c r="C43" s="22" t="s">
        <v>12</v>
      </c>
      <c r="D43" s="23">
        <f>23470.6+1590</f>
        <v>25060.6</v>
      </c>
      <c r="E43" s="22" t="s">
        <v>12</v>
      </c>
      <c r="F43" s="22">
        <f>D43</f>
        <v>25060.6</v>
      </c>
    </row>
    <row r="44" spans="1:6" ht="66" customHeight="1">
      <c r="A44" s="20">
        <v>50110000</v>
      </c>
      <c r="B44" s="21" t="s">
        <v>43</v>
      </c>
      <c r="C44" s="22" t="s">
        <v>12</v>
      </c>
      <c r="D44" s="22">
        <v>2061.1</v>
      </c>
      <c r="E44" s="22" t="s">
        <v>12</v>
      </c>
      <c r="F44" s="22">
        <f>D44</f>
        <v>2061.1</v>
      </c>
    </row>
    <row r="45" spans="1:6" s="30" customFormat="1" ht="12.75">
      <c r="A45" s="26"/>
      <c r="B45" s="27" t="s">
        <v>44</v>
      </c>
      <c r="C45" s="28">
        <f>C12+C27</f>
        <v>469288.39999999997</v>
      </c>
      <c r="D45" s="28">
        <f>D12+D27+D41+D42</f>
        <v>73623.59999999999</v>
      </c>
      <c r="E45" s="29">
        <f>E41</f>
        <v>1452.5</v>
      </c>
      <c r="F45" s="29">
        <f>C45+D45</f>
        <v>542912</v>
      </c>
    </row>
    <row r="46" spans="1:6" s="30" customFormat="1" ht="12.75">
      <c r="A46" s="26"/>
      <c r="B46" s="27"/>
      <c r="C46" s="28"/>
      <c r="D46" s="28"/>
      <c r="E46" s="29"/>
      <c r="F46" s="29"/>
    </row>
    <row r="47" spans="1:6" ht="12.75">
      <c r="A47" s="26">
        <v>40000000</v>
      </c>
      <c r="B47" s="27" t="s">
        <v>45</v>
      </c>
      <c r="C47" s="29">
        <f>C48+C50+C56+C49</f>
        <v>52802.10000000002</v>
      </c>
      <c r="D47" s="29">
        <f>D50+D56</f>
        <v>39518.9</v>
      </c>
      <c r="E47" s="29">
        <f>E50+E56</f>
        <v>39518.9</v>
      </c>
      <c r="F47" s="29">
        <f>C47+D47</f>
        <v>92321.00000000003</v>
      </c>
    </row>
    <row r="48" spans="1:6" ht="25.5">
      <c r="A48" s="20">
        <v>41020600</v>
      </c>
      <c r="B48" s="21" t="s">
        <v>46</v>
      </c>
      <c r="C48" s="22">
        <v>13705.5</v>
      </c>
      <c r="D48" s="22" t="s">
        <v>12</v>
      </c>
      <c r="E48" s="22" t="s">
        <v>12</v>
      </c>
      <c r="F48" s="22">
        <f>C48</f>
        <v>13705.5</v>
      </c>
    </row>
    <row r="49" spans="1:6" ht="12.75">
      <c r="A49" s="20">
        <v>41020700</v>
      </c>
      <c r="B49" s="21" t="s">
        <v>47</v>
      </c>
      <c r="C49" s="22">
        <v>3640.6</v>
      </c>
      <c r="D49" s="22"/>
      <c r="E49" s="22"/>
      <c r="F49" s="22">
        <f>C49</f>
        <v>3640.6</v>
      </c>
    </row>
    <row r="50" spans="1:6" ht="13.5">
      <c r="A50" s="31">
        <v>41030000</v>
      </c>
      <c r="B50" s="32" t="s">
        <v>48</v>
      </c>
      <c r="C50" s="33">
        <f>C53+C54+C55+C56</f>
        <v>35456.00000000002</v>
      </c>
      <c r="D50" s="33">
        <f>D53+D54+D55</f>
        <v>24006.7</v>
      </c>
      <c r="E50" s="33">
        <f>E53+E54+E55</f>
        <v>24006.7</v>
      </c>
      <c r="F50" s="33">
        <f>C50+D50</f>
        <v>59462.700000000026</v>
      </c>
    </row>
    <row r="51" spans="1:6" ht="25.5" hidden="1">
      <c r="A51" s="20">
        <v>42000000</v>
      </c>
      <c r="B51" s="21" t="s">
        <v>49</v>
      </c>
      <c r="C51" s="22" t="s">
        <v>12</v>
      </c>
      <c r="D51" s="22" t="s">
        <v>12</v>
      </c>
      <c r="E51" s="22" t="s">
        <v>12</v>
      </c>
      <c r="F51" s="22" t="e">
        <f aca="true" t="shared" si="0" ref="F51:F56">C51+D51</f>
        <v>#VALUE!</v>
      </c>
    </row>
    <row r="52" spans="1:6" ht="25.5" hidden="1">
      <c r="A52" s="20">
        <v>42020000</v>
      </c>
      <c r="B52" s="21" t="s">
        <v>50</v>
      </c>
      <c r="C52" s="22" t="s">
        <v>12</v>
      </c>
      <c r="D52" s="22" t="s">
        <v>12</v>
      </c>
      <c r="E52" s="22" t="s">
        <v>12</v>
      </c>
      <c r="F52" s="22" t="e">
        <f t="shared" si="0"/>
        <v>#VALUE!</v>
      </c>
    </row>
    <row r="53" spans="1:6" ht="25.5">
      <c r="A53" s="20">
        <v>41030400</v>
      </c>
      <c r="B53" s="21" t="s">
        <v>51</v>
      </c>
      <c r="C53" s="22"/>
      <c r="D53" s="22">
        <v>22506.3</v>
      </c>
      <c r="E53" s="22">
        <v>22506.3</v>
      </c>
      <c r="F53" s="22">
        <f t="shared" si="0"/>
        <v>22506.3</v>
      </c>
    </row>
    <row r="54" spans="1:6" ht="25.5">
      <c r="A54" s="20">
        <v>41030500</v>
      </c>
      <c r="B54" s="21" t="s">
        <v>52</v>
      </c>
      <c r="C54" s="22">
        <f>29654.5+241.7+80-7+44-39.4</f>
        <v>29973.8</v>
      </c>
      <c r="D54" s="22">
        <f>E54</f>
        <v>1500.4</v>
      </c>
      <c r="E54" s="22">
        <v>1500.4</v>
      </c>
      <c r="F54" s="22">
        <f t="shared" si="0"/>
        <v>31474.2</v>
      </c>
    </row>
    <row r="55" spans="1:7" s="19" customFormat="1" ht="52.5" customHeight="1">
      <c r="A55" s="34">
        <v>41030700</v>
      </c>
      <c r="B55" s="35" t="s">
        <v>53</v>
      </c>
      <c r="C55" s="16">
        <f>385994.5-338534.6-9012.3-13387.8-19577.6</f>
        <v>5482.200000000023</v>
      </c>
      <c r="D55" s="16"/>
      <c r="E55" s="16"/>
      <c r="F55" s="16">
        <f t="shared" si="0"/>
        <v>5482.200000000023</v>
      </c>
      <c r="G55" s="36"/>
    </row>
    <row r="56" spans="1:6" ht="38.25">
      <c r="A56" s="37">
        <v>43010000</v>
      </c>
      <c r="B56" s="21" t="s">
        <v>54</v>
      </c>
      <c r="C56" s="22"/>
      <c r="D56" s="22">
        <f>7890+5482.2+1000+740+400</f>
        <v>15512.2</v>
      </c>
      <c r="E56" s="22">
        <f>7890+5482.2+1000+740+400</f>
        <v>15512.2</v>
      </c>
      <c r="F56" s="22">
        <f t="shared" si="0"/>
        <v>15512.2</v>
      </c>
    </row>
    <row r="57" spans="1:6" s="30" customFormat="1" ht="12.75">
      <c r="A57" s="26"/>
      <c r="B57" s="27" t="s">
        <v>55</v>
      </c>
      <c r="C57" s="29">
        <f>C45+C47</f>
        <v>522090.5</v>
      </c>
      <c r="D57" s="29">
        <f>D45+D47</f>
        <v>113142.5</v>
      </c>
      <c r="E57" s="29">
        <f>E47+E45</f>
        <v>40971.4</v>
      </c>
      <c r="F57" s="29">
        <f>C57+D57</f>
        <v>635233</v>
      </c>
    </row>
    <row r="59" spans="3:4" ht="12">
      <c r="C59" s="38"/>
      <c r="D59" s="38"/>
    </row>
  </sheetData>
  <mergeCells count="5">
    <mergeCell ref="E3:F3"/>
    <mergeCell ref="A9:A10"/>
    <mergeCell ref="B9:B10"/>
    <mergeCell ref="C9:C10"/>
    <mergeCell ref="F9:F1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02"/>
  <sheetViews>
    <sheetView view="pageBreakPreview" zoomScale="65" zoomScaleNormal="65" zoomScaleSheetLayoutView="65" workbookViewId="0" topLeftCell="A91">
      <selection activeCell="F53" sqref="F53"/>
    </sheetView>
  </sheetViews>
  <sheetFormatPr defaultColWidth="9.00390625" defaultRowHeight="12.75"/>
  <cols>
    <col min="1" max="1" width="8.125" style="39" customWidth="1"/>
    <col min="2" max="2" width="28.125" style="40" customWidth="1"/>
    <col min="3" max="3" width="9.75390625" style="41" customWidth="1"/>
    <col min="4" max="4" width="10.00390625" style="41" customWidth="1"/>
    <col min="5" max="5" width="9.125" style="41" customWidth="1"/>
    <col min="6" max="6" width="10.00390625" style="41" customWidth="1"/>
    <col min="7" max="7" width="9.625" style="41" customWidth="1"/>
    <col min="8" max="8" width="10.75390625" style="41" customWidth="1"/>
    <col min="9" max="9" width="8.625" style="41" customWidth="1"/>
    <col min="10" max="10" width="7.875" style="41" customWidth="1"/>
    <col min="11" max="11" width="10.25390625" style="41" customWidth="1"/>
    <col min="12" max="12" width="10.75390625" style="41" customWidth="1"/>
    <col min="13" max="16384" width="8.875" style="41" customWidth="1"/>
  </cols>
  <sheetData>
    <row r="1" spans="8:10" ht="12" customHeight="1">
      <c r="H1" s="196" t="s">
        <v>56</v>
      </c>
      <c r="I1" s="196"/>
      <c r="J1" s="196"/>
    </row>
    <row r="2" spans="8:10" ht="16.5" customHeight="1">
      <c r="H2" s="43" t="s">
        <v>1</v>
      </c>
      <c r="I2" s="43"/>
      <c r="J2" s="43"/>
    </row>
    <row r="3" spans="8:10" ht="12.75">
      <c r="H3" s="44"/>
      <c r="I3" s="44"/>
      <c r="J3" s="44"/>
    </row>
    <row r="5" spans="2:8" ht="13.5" customHeight="1">
      <c r="B5" s="39"/>
      <c r="C5" s="45"/>
      <c r="D5" s="45"/>
      <c r="E5" s="45"/>
      <c r="F5" s="45"/>
      <c r="G5" s="45"/>
      <c r="H5" s="45"/>
    </row>
    <row r="6" spans="1:10" ht="15.75">
      <c r="A6" s="197" t="s">
        <v>57</v>
      </c>
      <c r="B6" s="197"/>
      <c r="C6" s="197"/>
      <c r="D6" s="197"/>
      <c r="E6" s="197"/>
      <c r="F6" s="197"/>
      <c r="G6" s="197"/>
      <c r="H6" s="197"/>
      <c r="I6" s="46"/>
      <c r="J6" s="46"/>
    </row>
    <row r="7" spans="1:12" ht="15" customHeight="1">
      <c r="A7" s="197" t="s">
        <v>58</v>
      </c>
      <c r="B7" s="197"/>
      <c r="C7" s="197"/>
      <c r="D7" s="197"/>
      <c r="E7" s="197"/>
      <c r="F7" s="197"/>
      <c r="G7" s="197"/>
      <c r="H7" s="197"/>
      <c r="I7" s="47"/>
      <c r="J7" s="47"/>
      <c r="K7" s="48"/>
      <c r="L7" s="48"/>
    </row>
    <row r="8" spans="6:12" ht="13.5" thickBot="1">
      <c r="F8" s="49"/>
      <c r="G8" s="49"/>
      <c r="I8" s="50"/>
      <c r="J8" s="51" t="s">
        <v>3</v>
      </c>
      <c r="L8" s="48"/>
    </row>
    <row r="9" spans="1:12" ht="25.5" customHeight="1" thickBot="1">
      <c r="A9" s="198" t="s">
        <v>59</v>
      </c>
      <c r="B9" s="201" t="s">
        <v>60</v>
      </c>
      <c r="C9" s="203" t="s">
        <v>61</v>
      </c>
      <c r="D9" s="204"/>
      <c r="E9" s="204"/>
      <c r="F9" s="204"/>
      <c r="G9" s="205"/>
      <c r="H9" s="206" t="s">
        <v>62</v>
      </c>
      <c r="I9" s="207"/>
      <c r="J9" s="208"/>
      <c r="K9" s="201" t="s">
        <v>63</v>
      </c>
      <c r="L9" s="52"/>
    </row>
    <row r="10" spans="1:12" ht="24" customHeight="1" thickBot="1">
      <c r="A10" s="199"/>
      <c r="B10" s="202"/>
      <c r="C10" s="210" t="s">
        <v>8</v>
      </c>
      <c r="D10" s="210" t="s">
        <v>64</v>
      </c>
      <c r="E10" s="212"/>
      <c r="F10" s="212"/>
      <c r="G10" s="213"/>
      <c r="H10" s="211" t="s">
        <v>8</v>
      </c>
      <c r="I10" s="53" t="s">
        <v>65</v>
      </c>
      <c r="J10" s="214" t="s">
        <v>66</v>
      </c>
      <c r="K10" s="202"/>
      <c r="L10" s="52"/>
    </row>
    <row r="11" spans="1:12" ht="98.25" customHeight="1" thickBot="1">
      <c r="A11" s="200"/>
      <c r="B11" s="202"/>
      <c r="C11" s="211"/>
      <c r="D11" s="54" t="s">
        <v>67</v>
      </c>
      <c r="E11" s="55" t="s">
        <v>68</v>
      </c>
      <c r="F11" s="55" t="s">
        <v>69</v>
      </c>
      <c r="G11" s="55" t="s">
        <v>70</v>
      </c>
      <c r="H11" s="211"/>
      <c r="I11" s="55" t="s">
        <v>71</v>
      </c>
      <c r="J11" s="215"/>
      <c r="K11" s="209"/>
      <c r="L11" s="52"/>
    </row>
    <row r="12" spans="1:12" ht="13.5" thickBot="1">
      <c r="A12" s="56">
        <v>1</v>
      </c>
      <c r="B12" s="56">
        <v>2</v>
      </c>
      <c r="C12" s="57">
        <v>3</v>
      </c>
      <c r="D12" s="57">
        <v>4</v>
      </c>
      <c r="E12" s="57">
        <v>5</v>
      </c>
      <c r="F12" s="57">
        <v>6</v>
      </c>
      <c r="G12" s="57">
        <v>7</v>
      </c>
      <c r="H12" s="57">
        <v>8</v>
      </c>
      <c r="I12" s="57">
        <v>9</v>
      </c>
      <c r="J12" s="57">
        <v>10</v>
      </c>
      <c r="K12" s="57">
        <v>11</v>
      </c>
      <c r="L12" s="48"/>
    </row>
    <row r="13" spans="1:12" s="62" customFormat="1" ht="18" customHeight="1">
      <c r="A13" s="58" t="s">
        <v>72</v>
      </c>
      <c r="B13" s="59" t="s">
        <v>73</v>
      </c>
      <c r="C13" s="60">
        <f>D13+E13+F13</f>
        <v>5813</v>
      </c>
      <c r="D13" s="60">
        <f>D14</f>
        <v>427.1</v>
      </c>
      <c r="E13" s="60">
        <f>E14</f>
        <v>937.4</v>
      </c>
      <c r="F13" s="60">
        <f>F14</f>
        <v>4448.5</v>
      </c>
      <c r="G13" s="60"/>
      <c r="H13" s="60">
        <f>H14</f>
        <v>0</v>
      </c>
      <c r="I13" s="60"/>
      <c r="J13" s="60"/>
      <c r="K13" s="60">
        <f>C13+H13</f>
        <v>5813</v>
      </c>
      <c r="L13" s="61"/>
    </row>
    <row r="14" spans="1:13" ht="24.75" customHeight="1">
      <c r="A14" s="63" t="s">
        <v>74</v>
      </c>
      <c r="B14" s="64" t="s">
        <v>75</v>
      </c>
      <c r="C14" s="65">
        <f aca="true" t="shared" si="0" ref="C14:C80">D14+E14+F14</f>
        <v>5813</v>
      </c>
      <c r="D14" s="65">
        <f>394.5+20+12.6</f>
        <v>427.1</v>
      </c>
      <c r="E14" s="65">
        <f>787.4+150</f>
        <v>937.4</v>
      </c>
      <c r="F14" s="65">
        <f>4631.1-20-12.6-150</f>
        <v>4448.5</v>
      </c>
      <c r="G14" s="65"/>
      <c r="H14" s="65"/>
      <c r="I14" s="65"/>
      <c r="J14" s="65"/>
      <c r="K14" s="65">
        <f aca="true" t="shared" si="1" ref="K14:K80">C14+H14</f>
        <v>5813</v>
      </c>
      <c r="L14" s="48"/>
      <c r="M14" s="66"/>
    </row>
    <row r="15" spans="1:13" ht="25.5" customHeight="1">
      <c r="A15" s="67" t="s">
        <v>76</v>
      </c>
      <c r="B15" s="68" t="s">
        <v>77</v>
      </c>
      <c r="C15" s="69">
        <f>D15+E15+F15+G15</f>
        <v>9460.2</v>
      </c>
      <c r="D15" s="69">
        <f>SUM(D17:D22)</f>
        <v>0</v>
      </c>
      <c r="E15" s="69">
        <f>SUM(E17:E22)</f>
        <v>0</v>
      </c>
      <c r="F15" s="69">
        <f>SUM(F17:F22)</f>
        <v>5080</v>
      </c>
      <c r="G15" s="69">
        <f>SUM(G17:G23)</f>
        <v>4380.2</v>
      </c>
      <c r="H15" s="69">
        <f>SUM(H17:H22)</f>
        <v>0</v>
      </c>
      <c r="I15" s="69"/>
      <c r="J15" s="69"/>
      <c r="K15" s="69">
        <f t="shared" si="1"/>
        <v>9460.2</v>
      </c>
      <c r="L15" s="48"/>
      <c r="M15" s="66"/>
    </row>
    <row r="16" spans="1:13" ht="12.75" hidden="1">
      <c r="A16" s="67" t="s">
        <v>78</v>
      </c>
      <c r="B16" s="68" t="s">
        <v>79</v>
      </c>
      <c r="C16" s="69">
        <f aca="true" t="shared" si="2" ref="C16:C29">D16+E16+F16+G16</f>
        <v>0</v>
      </c>
      <c r="D16" s="69">
        <f>SUM(D17:D22)</f>
        <v>0</v>
      </c>
      <c r="E16" s="69">
        <f>SUM(E17:E22)</f>
        <v>0</v>
      </c>
      <c r="F16" s="69"/>
      <c r="G16" s="69"/>
      <c r="H16" s="69">
        <f>H17</f>
        <v>0</v>
      </c>
      <c r="I16" s="69"/>
      <c r="J16" s="69"/>
      <c r="K16" s="65">
        <f t="shared" si="1"/>
        <v>0</v>
      </c>
      <c r="L16" s="48"/>
      <c r="M16" s="66"/>
    </row>
    <row r="17" spans="1:13" ht="24" customHeight="1" hidden="1">
      <c r="A17" s="63" t="s">
        <v>80</v>
      </c>
      <c r="B17" s="64" t="s">
        <v>81</v>
      </c>
      <c r="C17" s="69">
        <f t="shared" si="2"/>
        <v>0</v>
      </c>
      <c r="D17" s="69"/>
      <c r="E17" s="69"/>
      <c r="F17" s="69"/>
      <c r="G17" s="69"/>
      <c r="H17" s="69"/>
      <c r="I17" s="69"/>
      <c r="J17" s="69"/>
      <c r="K17" s="65">
        <f t="shared" si="1"/>
        <v>0</v>
      </c>
      <c r="L17" s="48"/>
      <c r="M17" s="66"/>
    </row>
    <row r="18" spans="1:13" ht="12.75" hidden="1">
      <c r="A18" s="63" t="s">
        <v>82</v>
      </c>
      <c r="B18" s="64" t="s">
        <v>83</v>
      </c>
      <c r="C18" s="69">
        <f t="shared" si="2"/>
        <v>0</v>
      </c>
      <c r="D18" s="65"/>
      <c r="E18" s="65"/>
      <c r="F18" s="65"/>
      <c r="G18" s="65"/>
      <c r="H18" s="65"/>
      <c r="I18" s="65"/>
      <c r="J18" s="65"/>
      <c r="K18" s="65">
        <f t="shared" si="1"/>
        <v>0</v>
      </c>
      <c r="L18" s="48"/>
      <c r="M18" s="66"/>
    </row>
    <row r="19" spans="1:13" ht="15" customHeight="1" hidden="1">
      <c r="A19" s="63" t="s">
        <v>84</v>
      </c>
      <c r="B19" s="70" t="s">
        <v>85</v>
      </c>
      <c r="C19" s="65">
        <f t="shared" si="2"/>
        <v>0</v>
      </c>
      <c r="D19" s="65"/>
      <c r="E19" s="65"/>
      <c r="F19" s="65"/>
      <c r="G19" s="65"/>
      <c r="H19" s="65">
        <f>H20+H21+H22</f>
        <v>0</v>
      </c>
      <c r="I19" s="65"/>
      <c r="J19" s="65"/>
      <c r="K19" s="65">
        <f t="shared" si="1"/>
        <v>0</v>
      </c>
      <c r="L19" s="48"/>
      <c r="M19" s="66"/>
    </row>
    <row r="20" spans="1:13" ht="38.25" hidden="1">
      <c r="A20" s="63" t="s">
        <v>86</v>
      </c>
      <c r="B20" s="64" t="s">
        <v>87</v>
      </c>
      <c r="C20" s="65">
        <f t="shared" si="2"/>
        <v>0</v>
      </c>
      <c r="D20" s="65"/>
      <c r="E20" s="65"/>
      <c r="F20" s="65"/>
      <c r="G20" s="65"/>
      <c r="H20" s="65"/>
      <c r="I20" s="65"/>
      <c r="J20" s="65"/>
      <c r="K20" s="65">
        <f t="shared" si="1"/>
        <v>0</v>
      </c>
      <c r="L20" s="48"/>
      <c r="M20" s="66"/>
    </row>
    <row r="21" spans="1:13" ht="12.75" customHeight="1" hidden="1">
      <c r="A21" s="63" t="s">
        <v>88</v>
      </c>
      <c r="B21" s="64" t="s">
        <v>89</v>
      </c>
      <c r="C21" s="65">
        <f t="shared" si="2"/>
        <v>0</v>
      </c>
      <c r="D21" s="65"/>
      <c r="E21" s="65"/>
      <c r="F21" s="65"/>
      <c r="G21" s="65"/>
      <c r="H21" s="65"/>
      <c r="I21" s="65"/>
      <c r="J21" s="65"/>
      <c r="K21" s="65">
        <f t="shared" si="1"/>
        <v>0</v>
      </c>
      <c r="L21" s="48"/>
      <c r="M21" s="66"/>
    </row>
    <row r="22" spans="1:13" ht="26.25" customHeight="1">
      <c r="A22" s="63" t="s">
        <v>90</v>
      </c>
      <c r="B22" s="70" t="s">
        <v>91</v>
      </c>
      <c r="C22" s="65">
        <f t="shared" si="2"/>
        <v>5845.1</v>
      </c>
      <c r="D22" s="65"/>
      <c r="E22" s="65"/>
      <c r="F22" s="65">
        <f>2300+1160+20+800+800</f>
        <v>5080</v>
      </c>
      <c r="G22" s="65">
        <f>820.1+7+60-7-110-5</f>
        <v>765.1</v>
      </c>
      <c r="H22" s="65"/>
      <c r="I22" s="65"/>
      <c r="J22" s="65"/>
      <c r="K22" s="65">
        <f t="shared" si="1"/>
        <v>5845.1</v>
      </c>
      <c r="L22" s="48"/>
      <c r="M22" s="66"/>
    </row>
    <row r="23" spans="1:13" ht="26.25" customHeight="1">
      <c r="A23" s="63" t="s">
        <v>86</v>
      </c>
      <c r="B23" s="70" t="s">
        <v>87</v>
      </c>
      <c r="C23" s="65">
        <f t="shared" si="2"/>
        <v>3615.1</v>
      </c>
      <c r="D23" s="65"/>
      <c r="E23" s="65"/>
      <c r="F23" s="65"/>
      <c r="G23" s="65">
        <f>3584+20+3.7+7.4</f>
        <v>3615.1</v>
      </c>
      <c r="H23" s="65"/>
      <c r="I23" s="65"/>
      <c r="J23" s="65"/>
      <c r="K23" s="65"/>
      <c r="L23" s="48"/>
      <c r="M23" s="66"/>
    </row>
    <row r="24" spans="1:12" s="66" customFormat="1" ht="16.5" customHeight="1">
      <c r="A24" s="67" t="s">
        <v>92</v>
      </c>
      <c r="B24" s="71" t="s">
        <v>93</v>
      </c>
      <c r="C24" s="69">
        <f t="shared" si="2"/>
        <v>90478.59999999999</v>
      </c>
      <c r="D24" s="69">
        <f>34566.9+672.4</f>
        <v>35239.3</v>
      </c>
      <c r="E24" s="69">
        <f>8491.4+6</f>
        <v>8497.4</v>
      </c>
      <c r="F24" s="69">
        <f>39164.5+700+244.1+335.2+162.2</f>
        <v>40605.99999999999</v>
      </c>
      <c r="G24" s="69">
        <f>5615.2+234.7+277.8+8.2</f>
        <v>6135.9</v>
      </c>
      <c r="H24" s="69">
        <v>3890.9</v>
      </c>
      <c r="I24" s="69"/>
      <c r="J24" s="69"/>
      <c r="K24" s="69">
        <f t="shared" si="1"/>
        <v>94369.49999999999</v>
      </c>
      <c r="L24" s="72"/>
    </row>
    <row r="25" spans="1:12" s="66" customFormat="1" ht="16.5" customHeight="1">
      <c r="A25" s="67" t="s">
        <v>94</v>
      </c>
      <c r="B25" s="71" t="s">
        <v>95</v>
      </c>
      <c r="C25" s="69">
        <f t="shared" si="2"/>
        <v>198422.6</v>
      </c>
      <c r="D25" s="69">
        <f>70800.2+3171.2</f>
        <v>73971.4</v>
      </c>
      <c r="E25" s="69">
        <v>15800</v>
      </c>
      <c r="F25" s="69">
        <f>93686.2+700+1179.7+449.5+1000+76+838.6</f>
        <v>97930</v>
      </c>
      <c r="G25" s="69">
        <f>10808-86.8</f>
        <v>10721.2</v>
      </c>
      <c r="H25" s="69">
        <v>7742.6</v>
      </c>
      <c r="I25" s="69">
        <v>1342.5</v>
      </c>
      <c r="J25" s="69"/>
      <c r="K25" s="69">
        <f t="shared" si="1"/>
        <v>206165.2</v>
      </c>
      <c r="L25" s="72"/>
    </row>
    <row r="26" spans="1:12" s="66" customFormat="1" ht="27.75" customHeight="1">
      <c r="A26" s="67" t="s">
        <v>96</v>
      </c>
      <c r="B26" s="71" t="s">
        <v>97</v>
      </c>
      <c r="C26" s="69">
        <f>D26+E26+F26+G26</f>
        <v>44686.00000000001</v>
      </c>
      <c r="D26" s="69">
        <f>D28+D29+D30+D31+D32+D33+D36+D37+D38+D39+D40+D35</f>
        <v>12886.4</v>
      </c>
      <c r="E26" s="69">
        <f>E28+E29+E30+E31+E32+E33+E36+E37+E38+E39+E40+E35</f>
        <v>4628.5</v>
      </c>
      <c r="F26" s="69">
        <f>F28+F29+F30+F31+F32+F33+F36+F37+F38+F39+F40+F35</f>
        <v>27138.000000000004</v>
      </c>
      <c r="G26" s="69">
        <f>G28+G29+G30+G31+G32+G33+G36+G37+G38+G39+G40</f>
        <v>33.1</v>
      </c>
      <c r="H26" s="69">
        <f>H28+H29+H30+H31+H32+H33+H36+H37+H38+H39+H40</f>
        <v>5733.4</v>
      </c>
      <c r="I26" s="69">
        <f>I28+I29+I30+I31+I32+I33+I36+I37+I38+I39+I40</f>
        <v>0</v>
      </c>
      <c r="J26" s="69">
        <f>J28+J29+J30+J31+J32+J33+J36+J37+J38+J39+J40</f>
        <v>0</v>
      </c>
      <c r="K26" s="69">
        <f>K28+K29+K30+K31+K32+K33+K36+K37+K38+K39+K40+K35</f>
        <v>50419.4</v>
      </c>
      <c r="L26" s="72"/>
    </row>
    <row r="27" spans="1:13" ht="25.5" hidden="1">
      <c r="A27" s="63" t="s">
        <v>98</v>
      </c>
      <c r="B27" s="64" t="s">
        <v>99</v>
      </c>
      <c r="C27" s="65">
        <f t="shared" si="2"/>
        <v>0</v>
      </c>
      <c r="D27" s="65"/>
      <c r="E27" s="65"/>
      <c r="F27" s="65"/>
      <c r="G27" s="65"/>
      <c r="H27" s="65"/>
      <c r="I27" s="65"/>
      <c r="J27" s="65"/>
      <c r="K27" s="65">
        <f t="shared" si="1"/>
        <v>0</v>
      </c>
      <c r="L27" s="48"/>
      <c r="M27" s="66"/>
    </row>
    <row r="28" spans="1:13" ht="25.5">
      <c r="A28" s="63" t="s">
        <v>100</v>
      </c>
      <c r="B28" s="64" t="s">
        <v>101</v>
      </c>
      <c r="C28" s="65">
        <f t="shared" si="2"/>
        <v>3.3</v>
      </c>
      <c r="D28" s="65"/>
      <c r="E28" s="65"/>
      <c r="F28" s="65">
        <v>3.3</v>
      </c>
      <c r="G28" s="65"/>
      <c r="H28" s="65"/>
      <c r="I28" s="65"/>
      <c r="J28" s="65"/>
      <c r="K28" s="65">
        <f t="shared" si="1"/>
        <v>3.3</v>
      </c>
      <c r="L28" s="48"/>
      <c r="M28" s="66"/>
    </row>
    <row r="29" spans="1:13" ht="25.5" customHeight="1">
      <c r="A29" s="63" t="s">
        <v>102</v>
      </c>
      <c r="B29" s="64" t="s">
        <v>103</v>
      </c>
      <c r="C29" s="65">
        <f t="shared" si="2"/>
        <v>861.1</v>
      </c>
      <c r="D29" s="65"/>
      <c r="E29" s="65"/>
      <c r="F29" s="65">
        <f>471+27+650-420+100</f>
        <v>828</v>
      </c>
      <c r="G29" s="65">
        <v>33.1</v>
      </c>
      <c r="H29" s="65">
        <v>130</v>
      </c>
      <c r="I29" s="65"/>
      <c r="J29" s="65"/>
      <c r="K29" s="65">
        <f t="shared" si="1"/>
        <v>991.1</v>
      </c>
      <c r="L29" s="48"/>
      <c r="M29" s="66"/>
    </row>
    <row r="30" spans="1:13" ht="36" customHeight="1">
      <c r="A30" s="73" t="s">
        <v>104</v>
      </c>
      <c r="B30" s="64" t="s">
        <v>105</v>
      </c>
      <c r="C30" s="65">
        <f t="shared" si="0"/>
        <v>472.79999999999995</v>
      </c>
      <c r="D30" s="65"/>
      <c r="E30" s="65"/>
      <c r="F30" s="65">
        <f>414.9+57.9</f>
        <v>472.79999999999995</v>
      </c>
      <c r="G30" s="65"/>
      <c r="H30" s="65"/>
      <c r="I30" s="65"/>
      <c r="J30" s="65"/>
      <c r="K30" s="65">
        <f t="shared" si="1"/>
        <v>472.79999999999995</v>
      </c>
      <c r="L30" s="48"/>
      <c r="M30" s="66"/>
    </row>
    <row r="31" spans="1:13" ht="12.75" hidden="1">
      <c r="A31" s="63" t="s">
        <v>106</v>
      </c>
      <c r="B31" s="64"/>
      <c r="C31" s="65">
        <f t="shared" si="0"/>
        <v>0</v>
      </c>
      <c r="D31" s="65"/>
      <c r="E31" s="65"/>
      <c r="F31" s="65"/>
      <c r="G31" s="65"/>
      <c r="H31" s="65"/>
      <c r="I31" s="65"/>
      <c r="J31" s="65"/>
      <c r="K31" s="65">
        <f t="shared" si="1"/>
        <v>0</v>
      </c>
      <c r="L31" s="48"/>
      <c r="M31" s="66"/>
    </row>
    <row r="32" spans="1:13" ht="51.75" customHeight="1">
      <c r="A32" s="63" t="s">
        <v>107</v>
      </c>
      <c r="B32" s="74" t="s">
        <v>108</v>
      </c>
      <c r="C32" s="65">
        <f t="shared" si="0"/>
        <v>33620.100000000006</v>
      </c>
      <c r="D32" s="65">
        <f>10243.5+381.3</f>
        <v>10624.8</v>
      </c>
      <c r="E32" s="65">
        <v>4091.9</v>
      </c>
      <c r="F32" s="65">
        <f>18416.9+418.2-115.5+141.9+41.9</f>
        <v>18903.400000000005</v>
      </c>
      <c r="G32" s="65"/>
      <c r="H32" s="65">
        <f>1618.6+92.3+3489.1</f>
        <v>5200</v>
      </c>
      <c r="I32" s="65"/>
      <c r="J32" s="65"/>
      <c r="K32" s="65">
        <f t="shared" si="1"/>
        <v>38820.100000000006</v>
      </c>
      <c r="L32" s="48"/>
      <c r="M32" s="66"/>
    </row>
    <row r="33" spans="1:13" ht="42.75" customHeight="1">
      <c r="A33" s="63" t="s">
        <v>109</v>
      </c>
      <c r="B33" s="74" t="s">
        <v>110</v>
      </c>
      <c r="C33" s="65">
        <f t="shared" si="0"/>
        <v>1215.8</v>
      </c>
      <c r="D33" s="65">
        <f>206+16.2</f>
        <v>222.2</v>
      </c>
      <c r="E33" s="65">
        <v>34.3</v>
      </c>
      <c r="F33" s="65">
        <f>843.3-20+130+700-700+6</f>
        <v>959.3</v>
      </c>
      <c r="G33" s="65"/>
      <c r="H33" s="65"/>
      <c r="I33" s="65"/>
      <c r="J33" s="65"/>
      <c r="K33" s="65">
        <f t="shared" si="1"/>
        <v>1215.8</v>
      </c>
      <c r="L33" s="48"/>
      <c r="M33" s="66"/>
    </row>
    <row r="34" spans="1:13" ht="42" customHeight="1">
      <c r="A34" s="63" t="s">
        <v>111</v>
      </c>
      <c r="B34" s="74" t="s">
        <v>112</v>
      </c>
      <c r="C34" s="65">
        <f t="shared" si="0"/>
        <v>260.5</v>
      </c>
      <c r="D34" s="65">
        <f>103.8+7+11.8</f>
        <v>122.6</v>
      </c>
      <c r="E34" s="65">
        <v>11</v>
      </c>
      <c r="F34" s="65">
        <f>122.5+4.4</f>
        <v>126.9</v>
      </c>
      <c r="G34" s="65"/>
      <c r="H34" s="65"/>
      <c r="I34" s="65"/>
      <c r="J34" s="65"/>
      <c r="K34" s="65">
        <f t="shared" si="1"/>
        <v>260.5</v>
      </c>
      <c r="L34" s="48"/>
      <c r="M34" s="66"/>
    </row>
    <row r="35" spans="1:13" ht="66.75" customHeight="1">
      <c r="A35" s="63" t="s">
        <v>113</v>
      </c>
      <c r="B35" s="74" t="s">
        <v>114</v>
      </c>
      <c r="C35" s="65">
        <f t="shared" si="0"/>
        <v>420</v>
      </c>
      <c r="D35" s="65"/>
      <c r="E35" s="65"/>
      <c r="F35" s="65">
        <v>420</v>
      </c>
      <c r="G35" s="65"/>
      <c r="H35" s="65"/>
      <c r="I35" s="65"/>
      <c r="J35" s="65"/>
      <c r="K35" s="65">
        <f t="shared" si="1"/>
        <v>420</v>
      </c>
      <c r="L35" s="48"/>
      <c r="M35" s="66"/>
    </row>
    <row r="36" spans="1:13" ht="36.75" customHeight="1">
      <c r="A36" s="63" t="s">
        <v>115</v>
      </c>
      <c r="B36" s="64" t="s">
        <v>116</v>
      </c>
      <c r="C36" s="65">
        <f t="shared" si="0"/>
        <v>56</v>
      </c>
      <c r="D36" s="65"/>
      <c r="E36" s="65"/>
      <c r="F36" s="65">
        <v>56</v>
      </c>
      <c r="G36" s="65"/>
      <c r="H36" s="65"/>
      <c r="I36" s="65"/>
      <c r="J36" s="65"/>
      <c r="K36" s="65">
        <f t="shared" si="1"/>
        <v>56</v>
      </c>
      <c r="L36" s="48"/>
      <c r="M36" s="66"/>
    </row>
    <row r="37" spans="1:13" ht="12.75" hidden="1">
      <c r="A37" s="63" t="s">
        <v>117</v>
      </c>
      <c r="B37" s="64"/>
      <c r="C37" s="65">
        <f t="shared" si="0"/>
        <v>0</v>
      </c>
      <c r="D37" s="65"/>
      <c r="E37" s="65"/>
      <c r="F37" s="65"/>
      <c r="G37" s="65"/>
      <c r="H37" s="65"/>
      <c r="I37" s="65"/>
      <c r="J37" s="65"/>
      <c r="K37" s="65">
        <f t="shared" si="1"/>
        <v>0</v>
      </c>
      <c r="L37" s="48"/>
      <c r="M37" s="66"/>
    </row>
    <row r="38" spans="1:13" ht="27" customHeight="1">
      <c r="A38" s="63" t="s">
        <v>118</v>
      </c>
      <c r="B38" s="74" t="s">
        <v>119</v>
      </c>
      <c r="C38" s="65">
        <f t="shared" si="0"/>
        <v>1589.2</v>
      </c>
      <c r="D38" s="65">
        <f>529.9+42</f>
        <v>571.9</v>
      </c>
      <c r="E38" s="65">
        <v>52.1</v>
      </c>
      <c r="F38" s="65">
        <f>949.6+15.6</f>
        <v>965.2</v>
      </c>
      <c r="G38" s="65"/>
      <c r="H38" s="65">
        <v>403.4</v>
      </c>
      <c r="I38" s="65"/>
      <c r="J38" s="65"/>
      <c r="K38" s="65">
        <f t="shared" si="1"/>
        <v>1992.6</v>
      </c>
      <c r="L38" s="48"/>
      <c r="M38" s="66"/>
    </row>
    <row r="39" spans="1:13" ht="24.75" customHeight="1">
      <c r="A39" s="63" t="s">
        <v>120</v>
      </c>
      <c r="B39" s="74" t="s">
        <v>121</v>
      </c>
      <c r="C39" s="65">
        <f t="shared" si="0"/>
        <v>1662</v>
      </c>
      <c r="D39" s="65"/>
      <c r="E39" s="65"/>
      <c r="F39" s="65">
        <f>1400+261.8+0.2</f>
        <v>1662</v>
      </c>
      <c r="G39" s="65"/>
      <c r="H39" s="65"/>
      <c r="I39" s="65"/>
      <c r="J39" s="65"/>
      <c r="K39" s="65">
        <f t="shared" si="1"/>
        <v>1662</v>
      </c>
      <c r="L39" s="48"/>
      <c r="M39" s="66"/>
    </row>
    <row r="40" spans="1:13" ht="16.5" customHeight="1">
      <c r="A40" s="63" t="s">
        <v>122</v>
      </c>
      <c r="B40" s="74" t="s">
        <v>123</v>
      </c>
      <c r="C40" s="65">
        <f t="shared" si="0"/>
        <v>4785.7</v>
      </c>
      <c r="D40" s="65">
        <f>1369.7+97.8</f>
        <v>1467.5</v>
      </c>
      <c r="E40" s="65">
        <f>409.2+41</f>
        <v>450.2</v>
      </c>
      <c r="F40" s="65">
        <f>2872.6+36.4-41</f>
        <v>2868</v>
      </c>
      <c r="G40" s="65"/>
      <c r="H40" s="65"/>
      <c r="I40" s="65"/>
      <c r="J40" s="65"/>
      <c r="K40" s="65">
        <f t="shared" si="1"/>
        <v>4785.7</v>
      </c>
      <c r="L40" s="48"/>
      <c r="M40" s="66"/>
    </row>
    <row r="41" spans="1:12" s="66" customFormat="1" ht="24" customHeight="1">
      <c r="A41" s="75">
        <v>100000</v>
      </c>
      <c r="B41" s="76" t="s">
        <v>124</v>
      </c>
      <c r="C41" s="69">
        <f>D41+E41+F41+G41</f>
        <v>12087.5</v>
      </c>
      <c r="D41" s="69"/>
      <c r="E41" s="69"/>
      <c r="F41" s="69">
        <f>6000+1000+F42+200+200</f>
        <v>7412.5</v>
      </c>
      <c r="G41" s="69">
        <f>4770-45-50</f>
        <v>4675</v>
      </c>
      <c r="H41" s="69"/>
      <c r="I41" s="69"/>
      <c r="J41" s="69"/>
      <c r="K41" s="69">
        <f t="shared" si="1"/>
        <v>12087.5</v>
      </c>
      <c r="L41" s="72"/>
    </row>
    <row r="42" spans="1:12" ht="70.5" customHeight="1">
      <c r="A42" s="77">
        <v>100105</v>
      </c>
      <c r="B42" s="78" t="s">
        <v>125</v>
      </c>
      <c r="C42" s="65">
        <f t="shared" si="0"/>
        <v>12.5</v>
      </c>
      <c r="D42" s="65"/>
      <c r="E42" s="65"/>
      <c r="F42" s="65">
        <v>12.5</v>
      </c>
      <c r="G42" s="79"/>
      <c r="H42" s="65"/>
      <c r="I42" s="65"/>
      <c r="J42" s="65"/>
      <c r="K42" s="65">
        <f t="shared" si="1"/>
        <v>12.5</v>
      </c>
      <c r="L42" s="48"/>
    </row>
    <row r="43" spans="1:13" ht="25.5" customHeight="1" hidden="1">
      <c r="A43" s="77">
        <v>100202</v>
      </c>
      <c r="B43" s="64" t="s">
        <v>126</v>
      </c>
      <c r="C43" s="69">
        <f t="shared" si="0"/>
        <v>0</v>
      </c>
      <c r="D43" s="69"/>
      <c r="E43" s="69"/>
      <c r="F43" s="69"/>
      <c r="G43" s="69"/>
      <c r="H43" s="69"/>
      <c r="I43" s="69"/>
      <c r="J43" s="69"/>
      <c r="K43" s="65">
        <f t="shared" si="1"/>
        <v>0</v>
      </c>
      <c r="L43" s="48"/>
      <c r="M43" s="66"/>
    </row>
    <row r="44" spans="1:11" s="66" customFormat="1" ht="12.75" hidden="1">
      <c r="A44" s="77">
        <v>100203</v>
      </c>
      <c r="B44" s="64" t="s">
        <v>127</v>
      </c>
      <c r="C44" s="69">
        <f t="shared" si="0"/>
        <v>0</v>
      </c>
      <c r="D44" s="69"/>
      <c r="E44" s="69"/>
      <c r="F44" s="69"/>
      <c r="G44" s="69"/>
      <c r="H44" s="69"/>
      <c r="I44" s="69"/>
      <c r="J44" s="69"/>
      <c r="K44" s="65">
        <f t="shared" si="1"/>
        <v>0</v>
      </c>
    </row>
    <row r="45" spans="1:12" s="66" customFormat="1" ht="12.75">
      <c r="A45" s="80">
        <v>110000</v>
      </c>
      <c r="B45" s="68" t="s">
        <v>128</v>
      </c>
      <c r="C45" s="69">
        <f aca="true" t="shared" si="3" ref="C45:C53">D45+E45+F45+G45</f>
        <v>22498.7</v>
      </c>
      <c r="D45" s="69">
        <f>SUM(D46:D48)</f>
        <v>1371.5</v>
      </c>
      <c r="E45" s="69">
        <f>SUM(E46:E48)</f>
        <v>345.1</v>
      </c>
      <c r="F45" s="69">
        <f>SUM(F46:F48)</f>
        <v>18927.100000000002</v>
      </c>
      <c r="G45" s="69">
        <f>G46+G47+G48</f>
        <v>1855</v>
      </c>
      <c r="H45" s="69">
        <f>SUM(H46:H48)</f>
        <v>465</v>
      </c>
      <c r="I45" s="69"/>
      <c r="J45" s="69"/>
      <c r="K45" s="69">
        <f t="shared" si="1"/>
        <v>22963.7</v>
      </c>
      <c r="L45" s="72"/>
    </row>
    <row r="46" spans="1:13" ht="12.75">
      <c r="A46" s="77">
        <v>110100</v>
      </c>
      <c r="B46" s="64" t="s">
        <v>129</v>
      </c>
      <c r="C46" s="65">
        <f t="shared" si="3"/>
        <v>16809.2</v>
      </c>
      <c r="D46" s="65"/>
      <c r="E46" s="65"/>
      <c r="F46" s="65">
        <f>10387+3000+976+191.2+400</f>
        <v>14954.2</v>
      </c>
      <c r="G46" s="65">
        <v>1855</v>
      </c>
      <c r="H46" s="65"/>
      <c r="I46" s="65"/>
      <c r="J46" s="65"/>
      <c r="K46" s="65">
        <f t="shared" si="1"/>
        <v>16809.2</v>
      </c>
      <c r="L46" s="48"/>
      <c r="M46" s="66"/>
    </row>
    <row r="47" spans="1:13" ht="37.5" customHeight="1">
      <c r="A47" s="34" t="s">
        <v>130</v>
      </c>
      <c r="B47" s="74" t="s">
        <v>131</v>
      </c>
      <c r="C47" s="65">
        <f t="shared" si="3"/>
        <v>5489.5</v>
      </c>
      <c r="D47" s="65">
        <f>1283.2+88.3</f>
        <v>1371.5</v>
      </c>
      <c r="E47" s="65">
        <f>311.6+33.5</f>
        <v>345.1</v>
      </c>
      <c r="F47" s="65">
        <f>3094.6+1821+40-33.5-1382.1+100+32.9+100</f>
        <v>3772.9000000000005</v>
      </c>
      <c r="G47" s="65"/>
      <c r="H47" s="65">
        <v>465</v>
      </c>
      <c r="I47" s="65"/>
      <c r="J47" s="65"/>
      <c r="K47" s="65">
        <f t="shared" si="1"/>
        <v>5954.5</v>
      </c>
      <c r="L47" s="48"/>
      <c r="M47" s="66"/>
    </row>
    <row r="48" spans="1:13" ht="12.75">
      <c r="A48" s="77">
        <v>110300</v>
      </c>
      <c r="B48" s="64" t="s">
        <v>132</v>
      </c>
      <c r="C48" s="65">
        <f t="shared" si="3"/>
        <v>200</v>
      </c>
      <c r="D48" s="65"/>
      <c r="E48" s="65"/>
      <c r="F48" s="65">
        <v>200</v>
      </c>
      <c r="G48" s="65"/>
      <c r="H48" s="65"/>
      <c r="I48" s="65"/>
      <c r="J48" s="65"/>
      <c r="K48" s="65">
        <f t="shared" si="1"/>
        <v>200</v>
      </c>
      <c r="L48" s="48"/>
      <c r="M48" s="66"/>
    </row>
    <row r="49" spans="1:12" s="66" customFormat="1" ht="18.75" customHeight="1">
      <c r="A49" s="81">
        <v>120000</v>
      </c>
      <c r="B49" s="82" t="s">
        <v>133</v>
      </c>
      <c r="C49" s="60">
        <f t="shared" si="3"/>
        <v>5673.9</v>
      </c>
      <c r="D49" s="60"/>
      <c r="E49" s="60"/>
      <c r="F49" s="60">
        <f>F51+F53+F50</f>
        <v>4378.8</v>
      </c>
      <c r="G49" s="60">
        <f>G51+G53+G50</f>
        <v>1295.1</v>
      </c>
      <c r="H49" s="60"/>
      <c r="I49" s="60"/>
      <c r="J49" s="60"/>
      <c r="K49" s="60">
        <f t="shared" si="1"/>
        <v>5673.9</v>
      </c>
      <c r="L49" s="72"/>
    </row>
    <row r="50" spans="1:13" ht="16.5" customHeight="1">
      <c r="A50" s="83">
        <v>120100</v>
      </c>
      <c r="B50" s="84" t="s">
        <v>134</v>
      </c>
      <c r="C50" s="85">
        <f t="shared" si="3"/>
        <v>100</v>
      </c>
      <c r="D50" s="85"/>
      <c r="E50" s="85"/>
      <c r="F50" s="85">
        <f>2000-1500-400</f>
        <v>100</v>
      </c>
      <c r="G50" s="85"/>
      <c r="H50" s="85"/>
      <c r="I50" s="85"/>
      <c r="J50" s="85"/>
      <c r="K50" s="85">
        <f t="shared" si="1"/>
        <v>100</v>
      </c>
      <c r="L50" s="48"/>
      <c r="M50" s="66"/>
    </row>
    <row r="51" spans="1:13" ht="12.75" customHeight="1">
      <c r="A51" s="77">
        <v>120200</v>
      </c>
      <c r="B51" s="64" t="s">
        <v>135</v>
      </c>
      <c r="C51" s="85">
        <f t="shared" si="3"/>
        <v>5195.1</v>
      </c>
      <c r="D51" s="65"/>
      <c r="E51" s="65"/>
      <c r="F51" s="65">
        <f>4200-300</f>
        <v>3900</v>
      </c>
      <c r="G51" s="65">
        <v>1295.1</v>
      </c>
      <c r="H51" s="65"/>
      <c r="I51" s="65"/>
      <c r="J51" s="65"/>
      <c r="K51" s="65">
        <f t="shared" si="1"/>
        <v>5195.1</v>
      </c>
      <c r="L51" s="48"/>
      <c r="M51" s="66"/>
    </row>
    <row r="52" spans="1:13" ht="26.25" customHeight="1" hidden="1">
      <c r="A52" s="77">
        <v>120201</v>
      </c>
      <c r="B52" s="64" t="s">
        <v>136</v>
      </c>
      <c r="C52" s="60">
        <f t="shared" si="3"/>
        <v>0</v>
      </c>
      <c r="D52" s="65"/>
      <c r="E52" s="65"/>
      <c r="F52" s="65"/>
      <c r="G52" s="65"/>
      <c r="H52" s="65"/>
      <c r="I52" s="65"/>
      <c r="J52" s="65"/>
      <c r="K52" s="65">
        <f t="shared" si="1"/>
        <v>0</v>
      </c>
      <c r="L52" s="48"/>
      <c r="M52" s="66"/>
    </row>
    <row r="53" spans="1:13" ht="12.75">
      <c r="A53" s="77">
        <v>120300</v>
      </c>
      <c r="B53" s="64" t="s">
        <v>137</v>
      </c>
      <c r="C53" s="85">
        <f t="shared" si="3"/>
        <v>378.8</v>
      </c>
      <c r="D53" s="65"/>
      <c r="E53" s="65"/>
      <c r="F53" s="65">
        <f>334.3+4.5+40</f>
        <v>378.8</v>
      </c>
      <c r="G53" s="65"/>
      <c r="H53" s="65"/>
      <c r="I53" s="65"/>
      <c r="J53" s="65"/>
      <c r="K53" s="65">
        <f t="shared" si="1"/>
        <v>378.8</v>
      </c>
      <c r="L53" s="48"/>
      <c r="M53" s="66"/>
    </row>
    <row r="54" spans="1:13" ht="12.75" hidden="1">
      <c r="A54" s="77">
        <v>120301</v>
      </c>
      <c r="B54" s="64" t="s">
        <v>138</v>
      </c>
      <c r="C54" s="65">
        <f t="shared" si="0"/>
        <v>0</v>
      </c>
      <c r="D54" s="65"/>
      <c r="E54" s="65"/>
      <c r="F54" s="65"/>
      <c r="G54" s="65"/>
      <c r="H54" s="65"/>
      <c r="I54" s="65"/>
      <c r="J54" s="65"/>
      <c r="K54" s="65">
        <f t="shared" si="1"/>
        <v>0</v>
      </c>
      <c r="L54" s="48"/>
      <c r="M54" s="66"/>
    </row>
    <row r="55" spans="1:12" s="66" customFormat="1" ht="12.75">
      <c r="A55" s="80">
        <v>130000</v>
      </c>
      <c r="B55" s="68" t="s">
        <v>139</v>
      </c>
      <c r="C55" s="86">
        <f>D55+E55+F55+G55</f>
        <v>25364.4</v>
      </c>
      <c r="D55" s="86">
        <f>1439.7+14.8</f>
        <v>1454.5</v>
      </c>
      <c r="E55" s="86">
        <f>27.5</f>
        <v>27.5</v>
      </c>
      <c r="F55" s="86">
        <f>19267.9+60+4500+5.5</f>
        <v>23833.4</v>
      </c>
      <c r="G55" s="86">
        <v>49</v>
      </c>
      <c r="H55" s="86"/>
      <c r="I55" s="86"/>
      <c r="J55" s="86"/>
      <c r="K55" s="86">
        <f t="shared" si="1"/>
        <v>25364.4</v>
      </c>
      <c r="L55" s="72"/>
    </row>
    <row r="56" spans="1:12" s="66" customFormat="1" ht="12.75">
      <c r="A56" s="80">
        <v>150000</v>
      </c>
      <c r="B56" s="68" t="s">
        <v>140</v>
      </c>
      <c r="C56" s="69">
        <f t="shared" si="0"/>
        <v>0</v>
      </c>
      <c r="D56" s="69"/>
      <c r="E56" s="69"/>
      <c r="F56" s="69"/>
      <c r="G56" s="69"/>
      <c r="H56" s="69">
        <f>SUM(H57:H59)</f>
        <v>39628.899999999994</v>
      </c>
      <c r="I56" s="69">
        <f>SUM(I57:I59)</f>
        <v>39628.899999999994</v>
      </c>
      <c r="J56" s="69">
        <f>J57</f>
        <v>1500.4</v>
      </c>
      <c r="K56" s="69">
        <f t="shared" si="1"/>
        <v>39628.899999999994</v>
      </c>
      <c r="L56" s="72"/>
    </row>
    <row r="57" spans="1:13" ht="12.75">
      <c r="A57" s="77">
        <v>150100</v>
      </c>
      <c r="B57" s="64" t="s">
        <v>141</v>
      </c>
      <c r="C57" s="65">
        <f t="shared" si="0"/>
        <v>0</v>
      </c>
      <c r="D57" s="65"/>
      <c r="E57" s="65"/>
      <c r="F57" s="65"/>
      <c r="G57" s="65"/>
      <c r="H57" s="65">
        <f>7890+110+22506.3+1000+J57+740+400</f>
        <v>34146.7</v>
      </c>
      <c r="I57" s="65">
        <f>1500.4+7890+110+22506.3+1000+740+400</f>
        <v>34146.7</v>
      </c>
      <c r="J57" s="65">
        <v>1500.4</v>
      </c>
      <c r="K57" s="65">
        <f t="shared" si="1"/>
        <v>34146.7</v>
      </c>
      <c r="L57" s="48"/>
      <c r="M57" s="66"/>
    </row>
    <row r="58" spans="1:13" ht="25.5">
      <c r="A58" s="77">
        <v>150107</v>
      </c>
      <c r="B58" s="64" t="s">
        <v>142</v>
      </c>
      <c r="C58" s="65">
        <f t="shared" si="0"/>
        <v>0</v>
      </c>
      <c r="D58" s="65"/>
      <c r="E58" s="65"/>
      <c r="F58" s="65"/>
      <c r="G58" s="65"/>
      <c r="H58" s="65">
        <v>5482.2</v>
      </c>
      <c r="I58" s="65">
        <v>5482.2</v>
      </c>
      <c r="J58" s="65"/>
      <c r="K58" s="65">
        <f t="shared" si="1"/>
        <v>5482.2</v>
      </c>
      <c r="L58" s="48"/>
      <c r="M58" s="66"/>
    </row>
    <row r="59" spans="1:13" ht="12.75" hidden="1">
      <c r="A59" s="77">
        <v>150200</v>
      </c>
      <c r="B59" s="64" t="s">
        <v>143</v>
      </c>
      <c r="C59" s="65">
        <f t="shared" si="0"/>
        <v>0</v>
      </c>
      <c r="D59" s="65"/>
      <c r="E59" s="65"/>
      <c r="F59" s="65"/>
      <c r="G59" s="65"/>
      <c r="H59" s="65"/>
      <c r="I59" s="65"/>
      <c r="J59" s="65"/>
      <c r="K59" s="65">
        <f t="shared" si="1"/>
        <v>0</v>
      </c>
      <c r="L59" s="48"/>
      <c r="M59" s="66"/>
    </row>
    <row r="60" spans="1:12" s="66" customFormat="1" ht="37.5" customHeight="1">
      <c r="A60" s="80">
        <v>160000</v>
      </c>
      <c r="B60" s="68" t="s">
        <v>144</v>
      </c>
      <c r="C60" s="69">
        <f>D60+E60+F60+G60</f>
        <v>3500</v>
      </c>
      <c r="D60" s="69"/>
      <c r="E60" s="69"/>
      <c r="F60" s="69">
        <f>F61</f>
        <v>3500</v>
      </c>
      <c r="G60" s="69"/>
      <c r="H60" s="69">
        <f>H61</f>
        <v>0</v>
      </c>
      <c r="I60" s="69"/>
      <c r="J60" s="69"/>
      <c r="K60" s="69">
        <f t="shared" si="1"/>
        <v>3500</v>
      </c>
      <c r="L60" s="72"/>
    </row>
    <row r="61" spans="1:12" ht="38.25">
      <c r="A61" s="77">
        <v>160903</v>
      </c>
      <c r="B61" s="64" t="s">
        <v>145</v>
      </c>
      <c r="C61" s="69">
        <f>D61+E61+F61+G61</f>
        <v>3500</v>
      </c>
      <c r="D61" s="65"/>
      <c r="E61" s="65"/>
      <c r="F61" s="65">
        <f>3500+5000-5000</f>
        <v>3500</v>
      </c>
      <c r="G61" s="65"/>
      <c r="H61" s="65"/>
      <c r="I61" s="65"/>
      <c r="J61" s="65"/>
      <c r="K61" s="65">
        <f t="shared" si="1"/>
        <v>3500</v>
      </c>
      <c r="L61" s="48"/>
    </row>
    <row r="62" spans="1:12" s="66" customFormat="1" ht="52.5" customHeight="1">
      <c r="A62" s="80">
        <v>170000</v>
      </c>
      <c r="B62" s="87" t="s">
        <v>146</v>
      </c>
      <c r="C62" s="69">
        <f t="shared" si="0"/>
        <v>0</v>
      </c>
      <c r="D62" s="69"/>
      <c r="E62" s="69"/>
      <c r="F62" s="69"/>
      <c r="G62" s="69"/>
      <c r="H62" s="69">
        <f>H63+H65+H67</f>
        <v>27817.1</v>
      </c>
      <c r="I62" s="69"/>
      <c r="J62" s="69">
        <f>J63+J65+J67</f>
        <v>0</v>
      </c>
      <c r="K62" s="69">
        <f t="shared" si="1"/>
        <v>27817.1</v>
      </c>
      <c r="L62" s="72"/>
    </row>
    <row r="63" spans="1:13" ht="11.25" customHeight="1" hidden="1">
      <c r="A63" s="77">
        <v>170100</v>
      </c>
      <c r="B63" s="64" t="s">
        <v>147</v>
      </c>
      <c r="C63" s="69">
        <f t="shared" si="0"/>
        <v>0</v>
      </c>
      <c r="D63" s="69"/>
      <c r="E63" s="69"/>
      <c r="F63" s="69"/>
      <c r="G63" s="69"/>
      <c r="H63" s="69"/>
      <c r="I63" s="69"/>
      <c r="J63" s="69"/>
      <c r="K63" s="65">
        <f t="shared" si="1"/>
        <v>0</v>
      </c>
      <c r="L63" s="48"/>
      <c r="M63" s="66"/>
    </row>
    <row r="64" spans="1:13" ht="12" customHeight="1" hidden="1">
      <c r="A64" s="73">
        <v>170102</v>
      </c>
      <c r="B64" s="64" t="s">
        <v>148</v>
      </c>
      <c r="C64" s="69">
        <f t="shared" si="0"/>
        <v>0</v>
      </c>
      <c r="D64" s="69"/>
      <c r="E64" s="69"/>
      <c r="F64" s="69"/>
      <c r="G64" s="69"/>
      <c r="H64" s="69"/>
      <c r="I64" s="69"/>
      <c r="J64" s="69"/>
      <c r="K64" s="65">
        <f t="shared" si="1"/>
        <v>0</v>
      </c>
      <c r="L64" s="48"/>
      <c r="M64" s="66"/>
    </row>
    <row r="65" spans="1:13" ht="12" customHeight="1" hidden="1">
      <c r="A65" s="77">
        <v>170600</v>
      </c>
      <c r="B65" s="64" t="s">
        <v>149</v>
      </c>
      <c r="C65" s="69">
        <f t="shared" si="0"/>
        <v>0</v>
      </c>
      <c r="D65" s="69"/>
      <c r="E65" s="69"/>
      <c r="F65" s="69"/>
      <c r="G65" s="69"/>
      <c r="H65" s="69"/>
      <c r="I65" s="69"/>
      <c r="J65" s="69"/>
      <c r="K65" s="65">
        <f t="shared" si="1"/>
        <v>0</v>
      </c>
      <c r="L65" s="48"/>
      <c r="M65" s="66"/>
    </row>
    <row r="66" spans="1:13" ht="13.5" customHeight="1" hidden="1">
      <c r="A66" s="77">
        <v>170602</v>
      </c>
      <c r="B66" s="64" t="s">
        <v>150</v>
      </c>
      <c r="C66" s="69">
        <f t="shared" si="0"/>
        <v>0</v>
      </c>
      <c r="D66" s="69"/>
      <c r="E66" s="69"/>
      <c r="F66" s="69"/>
      <c r="G66" s="69"/>
      <c r="H66" s="69"/>
      <c r="I66" s="69"/>
      <c r="J66" s="69"/>
      <c r="K66" s="65">
        <f t="shared" si="1"/>
        <v>0</v>
      </c>
      <c r="L66" s="48"/>
      <c r="M66" s="66"/>
    </row>
    <row r="67" spans="1:13" ht="12.75">
      <c r="A67" s="77">
        <v>170700</v>
      </c>
      <c r="B67" s="64" t="s">
        <v>151</v>
      </c>
      <c r="C67" s="65">
        <f t="shared" si="0"/>
        <v>0</v>
      </c>
      <c r="D67" s="65"/>
      <c r="E67" s="65"/>
      <c r="F67" s="65"/>
      <c r="G67" s="65"/>
      <c r="H67" s="65">
        <f>H68</f>
        <v>27817.1</v>
      </c>
      <c r="I67" s="65"/>
      <c r="J67" s="65">
        <f>J68</f>
        <v>0</v>
      </c>
      <c r="K67" s="65">
        <f t="shared" si="1"/>
        <v>27817.1</v>
      </c>
      <c r="L67" s="48"/>
      <c r="M67" s="66"/>
    </row>
    <row r="68" spans="1:13" ht="63" customHeight="1">
      <c r="A68" s="77">
        <v>170703</v>
      </c>
      <c r="B68" s="64" t="s">
        <v>152</v>
      </c>
      <c r="C68" s="65">
        <f t="shared" si="0"/>
        <v>0</v>
      </c>
      <c r="D68" s="65"/>
      <c r="E68" s="65"/>
      <c r="F68" s="65"/>
      <c r="G68" s="65"/>
      <c r="H68" s="65">
        <f>26567.1+1250</f>
        <v>27817.1</v>
      </c>
      <c r="I68" s="65"/>
      <c r="J68" s="65"/>
      <c r="K68" s="65">
        <f t="shared" si="1"/>
        <v>27817.1</v>
      </c>
      <c r="L68" s="48"/>
      <c r="M68" s="66"/>
    </row>
    <row r="69" spans="1:13" ht="36.75" customHeight="1">
      <c r="A69" s="80">
        <v>180109</v>
      </c>
      <c r="B69" s="68" t="s">
        <v>153</v>
      </c>
      <c r="C69" s="69">
        <f t="shared" si="0"/>
        <v>4804.5</v>
      </c>
      <c r="D69" s="65"/>
      <c r="E69" s="65"/>
      <c r="F69" s="69">
        <f>4960-155.5</f>
        <v>4804.5</v>
      </c>
      <c r="G69" s="65"/>
      <c r="H69" s="69"/>
      <c r="I69" s="65"/>
      <c r="J69" s="65"/>
      <c r="K69" s="69">
        <f t="shared" si="1"/>
        <v>4804.5</v>
      </c>
      <c r="L69" s="48"/>
      <c r="M69" s="66"/>
    </row>
    <row r="70" spans="1:13" ht="25.5" customHeight="1">
      <c r="A70" s="80">
        <v>180404</v>
      </c>
      <c r="B70" s="68" t="s">
        <v>154</v>
      </c>
      <c r="C70" s="69">
        <f t="shared" si="0"/>
        <v>200</v>
      </c>
      <c r="D70" s="65"/>
      <c r="E70" s="65"/>
      <c r="F70" s="69">
        <v>200</v>
      </c>
      <c r="G70" s="65"/>
      <c r="H70" s="69"/>
      <c r="I70" s="65"/>
      <c r="J70" s="65"/>
      <c r="K70" s="69">
        <f t="shared" si="1"/>
        <v>200</v>
      </c>
      <c r="L70" s="48"/>
      <c r="M70" s="66"/>
    </row>
    <row r="71" spans="1:13" ht="89.25">
      <c r="A71" s="58" t="s">
        <v>155</v>
      </c>
      <c r="B71" s="87" t="s">
        <v>156</v>
      </c>
      <c r="C71" s="69">
        <f t="shared" si="0"/>
        <v>0</v>
      </c>
      <c r="D71" s="65"/>
      <c r="E71" s="65"/>
      <c r="F71" s="69"/>
      <c r="G71" s="65"/>
      <c r="H71" s="69">
        <v>10</v>
      </c>
      <c r="I71" s="65">
        <v>10</v>
      </c>
      <c r="J71" s="65"/>
      <c r="K71" s="69">
        <f t="shared" si="1"/>
        <v>10</v>
      </c>
      <c r="L71" s="48"/>
      <c r="M71" s="66"/>
    </row>
    <row r="72" spans="1:12" s="66" customFormat="1" ht="39" customHeight="1">
      <c r="A72" s="80">
        <v>180410</v>
      </c>
      <c r="B72" s="68" t="s">
        <v>157</v>
      </c>
      <c r="C72" s="69">
        <f t="shared" si="0"/>
        <v>14.5</v>
      </c>
      <c r="D72" s="69"/>
      <c r="E72" s="69"/>
      <c r="F72" s="69">
        <v>14.5</v>
      </c>
      <c r="G72" s="69"/>
      <c r="H72" s="69"/>
      <c r="I72" s="69"/>
      <c r="J72" s="69"/>
      <c r="K72" s="69">
        <f t="shared" si="1"/>
        <v>14.5</v>
      </c>
      <c r="L72" s="72"/>
    </row>
    <row r="73" spans="1:12" s="66" customFormat="1" ht="24" customHeight="1">
      <c r="A73" s="80">
        <v>200200</v>
      </c>
      <c r="B73" s="68" t="s">
        <v>158</v>
      </c>
      <c r="C73" s="69">
        <f t="shared" si="0"/>
        <v>0</v>
      </c>
      <c r="D73" s="69"/>
      <c r="E73" s="69"/>
      <c r="F73" s="69"/>
      <c r="G73" s="69"/>
      <c r="H73" s="69">
        <v>742.9</v>
      </c>
      <c r="I73" s="69"/>
      <c r="J73" s="69"/>
      <c r="K73" s="69">
        <f t="shared" si="1"/>
        <v>742.9</v>
      </c>
      <c r="L73" s="72"/>
    </row>
    <row r="74" spans="1:12" s="66" customFormat="1" ht="38.25" customHeight="1">
      <c r="A74" s="80">
        <v>210000</v>
      </c>
      <c r="B74" s="68" t="s">
        <v>159</v>
      </c>
      <c r="C74" s="69">
        <f>D74+E74+F74+G74</f>
        <v>4060.6000000000004</v>
      </c>
      <c r="D74" s="69"/>
      <c r="E74" s="69"/>
      <c r="F74" s="69">
        <f>1533+200+668.3+200+630</f>
        <v>3231.3</v>
      </c>
      <c r="G74" s="69">
        <f>825+4.3</f>
        <v>829.3</v>
      </c>
      <c r="H74" s="69"/>
      <c r="I74" s="69"/>
      <c r="J74" s="69"/>
      <c r="K74" s="69">
        <f t="shared" si="1"/>
        <v>4060.6000000000004</v>
      </c>
      <c r="L74" s="72"/>
    </row>
    <row r="75" spans="1:12" s="66" customFormat="1" ht="13.5" customHeight="1">
      <c r="A75" s="80">
        <v>230000</v>
      </c>
      <c r="B75" s="68" t="s">
        <v>160</v>
      </c>
      <c r="C75" s="69">
        <f t="shared" si="0"/>
        <v>0.1</v>
      </c>
      <c r="D75" s="69"/>
      <c r="E75" s="69"/>
      <c r="F75" s="69">
        <v>0.1</v>
      </c>
      <c r="G75" s="69"/>
      <c r="H75" s="69"/>
      <c r="I75" s="69"/>
      <c r="J75" s="69"/>
      <c r="K75" s="69">
        <f t="shared" si="1"/>
        <v>0.1</v>
      </c>
      <c r="L75" s="72"/>
    </row>
    <row r="76" spans="1:12" s="66" customFormat="1" ht="13.5" customHeight="1">
      <c r="A76" s="88">
        <v>240000</v>
      </c>
      <c r="B76" s="68" t="s">
        <v>41</v>
      </c>
      <c r="C76" s="69">
        <f t="shared" si="0"/>
        <v>0</v>
      </c>
      <c r="D76" s="69">
        <f>D78+D82</f>
        <v>0</v>
      </c>
      <c r="E76" s="69">
        <f>E78+E82</f>
        <v>0</v>
      </c>
      <c r="F76" s="69">
        <f>F78+F82</f>
        <v>0</v>
      </c>
      <c r="G76" s="69"/>
      <c r="H76" s="69">
        <f>H78+H82+H77</f>
        <v>27121.699999999997</v>
      </c>
      <c r="I76" s="69"/>
      <c r="J76" s="69"/>
      <c r="K76" s="69">
        <f t="shared" si="1"/>
        <v>27121.699999999997</v>
      </c>
      <c r="L76" s="72"/>
    </row>
    <row r="77" spans="1:12" s="66" customFormat="1" ht="26.25" customHeight="1">
      <c r="A77" s="77">
        <v>240600</v>
      </c>
      <c r="B77" s="64" t="s">
        <v>161</v>
      </c>
      <c r="C77" s="65">
        <f t="shared" si="0"/>
        <v>0</v>
      </c>
      <c r="D77" s="69"/>
      <c r="E77" s="69"/>
      <c r="F77" s="69"/>
      <c r="G77" s="69"/>
      <c r="H77" s="65">
        <f>23470.6+1590</f>
        <v>25060.6</v>
      </c>
      <c r="I77" s="69"/>
      <c r="J77" s="69"/>
      <c r="K77" s="65">
        <f>C77+H77</f>
        <v>25060.6</v>
      </c>
      <c r="L77" s="72"/>
    </row>
    <row r="78" spans="1:13" ht="38.25" hidden="1">
      <c r="A78" s="77">
        <v>240601</v>
      </c>
      <c r="B78" s="64" t="s">
        <v>162</v>
      </c>
      <c r="C78" s="65">
        <f t="shared" si="0"/>
        <v>0</v>
      </c>
      <c r="D78" s="65"/>
      <c r="E78" s="65"/>
      <c r="F78" s="65"/>
      <c r="G78" s="65"/>
      <c r="H78" s="65"/>
      <c r="I78" s="65"/>
      <c r="J78" s="65"/>
      <c r="K78" s="65">
        <f t="shared" si="1"/>
        <v>0</v>
      </c>
      <c r="L78" s="48"/>
      <c r="M78" s="66"/>
    </row>
    <row r="79" spans="1:13" ht="12.75" hidden="1">
      <c r="A79" s="77">
        <v>240602</v>
      </c>
      <c r="B79" s="64" t="s">
        <v>163</v>
      </c>
      <c r="C79" s="65">
        <f t="shared" si="0"/>
        <v>0</v>
      </c>
      <c r="D79" s="65"/>
      <c r="E79" s="65"/>
      <c r="F79" s="65"/>
      <c r="G79" s="65"/>
      <c r="H79" s="65"/>
      <c r="I79" s="65"/>
      <c r="J79" s="65"/>
      <c r="K79" s="65">
        <f t="shared" si="1"/>
        <v>0</v>
      </c>
      <c r="L79" s="48"/>
      <c r="M79" s="66"/>
    </row>
    <row r="80" spans="1:13" ht="38.25" hidden="1">
      <c r="A80" s="77">
        <v>240603</v>
      </c>
      <c r="B80" s="64" t="s">
        <v>164</v>
      </c>
      <c r="C80" s="65">
        <f t="shared" si="0"/>
        <v>0</v>
      </c>
      <c r="D80" s="65"/>
      <c r="E80" s="65"/>
      <c r="F80" s="65"/>
      <c r="G80" s="65"/>
      <c r="H80" s="65"/>
      <c r="I80" s="65"/>
      <c r="J80" s="65"/>
      <c r="K80" s="65">
        <f t="shared" si="1"/>
        <v>0</v>
      </c>
      <c r="L80" s="48"/>
      <c r="M80" s="66"/>
    </row>
    <row r="81" spans="1:13" ht="25.5" hidden="1">
      <c r="A81" s="77">
        <v>240604</v>
      </c>
      <c r="B81" s="64" t="s">
        <v>165</v>
      </c>
      <c r="C81" s="65">
        <f aca="true" t="shared" si="4" ref="C81:C96">D81+E81+F81</f>
        <v>0</v>
      </c>
      <c r="D81" s="65"/>
      <c r="E81" s="65"/>
      <c r="F81" s="65"/>
      <c r="G81" s="65"/>
      <c r="H81" s="65"/>
      <c r="I81" s="65"/>
      <c r="J81" s="65"/>
      <c r="K81" s="65">
        <f aca="true" t="shared" si="5" ref="K81:K97">C81+H81</f>
        <v>0</v>
      </c>
      <c r="L81" s="48"/>
      <c r="M81" s="66"/>
    </row>
    <row r="82" spans="1:13" ht="63.75">
      <c r="A82" s="77">
        <v>240900</v>
      </c>
      <c r="B82" s="64" t="s">
        <v>166</v>
      </c>
      <c r="C82" s="65">
        <f>D82+E82+F82</f>
        <v>0</v>
      </c>
      <c r="D82" s="65"/>
      <c r="E82" s="65"/>
      <c r="F82" s="65"/>
      <c r="G82" s="65"/>
      <c r="H82" s="65">
        <f>2061.1</f>
        <v>2061.1</v>
      </c>
      <c r="I82" s="65"/>
      <c r="J82" s="65"/>
      <c r="K82" s="65">
        <f>C82+H82</f>
        <v>2061.1</v>
      </c>
      <c r="L82" s="48"/>
      <c r="M82" s="66"/>
    </row>
    <row r="83" spans="1:12" s="66" customFormat="1" ht="25.5">
      <c r="A83" s="80">
        <v>250000</v>
      </c>
      <c r="B83" s="68" t="s">
        <v>310</v>
      </c>
      <c r="C83" s="69">
        <f t="shared" si="4"/>
        <v>1030.2</v>
      </c>
      <c r="D83" s="69">
        <f>SUM(D84:D86)</f>
        <v>0</v>
      </c>
      <c r="E83" s="69">
        <f>SUM(E84:E86)</f>
        <v>0</v>
      </c>
      <c r="F83" s="69">
        <f>SUM(F84:F88)</f>
        <v>1030.2</v>
      </c>
      <c r="G83" s="69"/>
      <c r="H83" s="69"/>
      <c r="I83" s="69"/>
      <c r="J83" s="69"/>
      <c r="K83" s="69">
        <f t="shared" si="5"/>
        <v>1030.2</v>
      </c>
      <c r="L83" s="72"/>
    </row>
    <row r="84" spans="1:13" ht="12.75">
      <c r="A84" s="77">
        <v>250102</v>
      </c>
      <c r="B84" s="64" t="s">
        <v>167</v>
      </c>
      <c r="C84" s="65">
        <f>D84+E84+F84</f>
        <v>801.7</v>
      </c>
      <c r="D84" s="65"/>
      <c r="E84" s="65"/>
      <c r="F84" s="65">
        <f>3500-2000-200-668.3+800-630</f>
        <v>801.7</v>
      </c>
      <c r="G84" s="65"/>
      <c r="H84" s="65"/>
      <c r="I84" s="65"/>
      <c r="J84" s="65"/>
      <c r="K84" s="65">
        <f t="shared" si="5"/>
        <v>801.7</v>
      </c>
      <c r="L84" s="48"/>
      <c r="M84" s="66"/>
    </row>
    <row r="85" spans="1:13" ht="24" customHeight="1">
      <c r="A85" s="77">
        <v>250203</v>
      </c>
      <c r="B85" s="64" t="s">
        <v>168</v>
      </c>
      <c r="C85" s="65">
        <f t="shared" si="4"/>
        <v>3.4</v>
      </c>
      <c r="D85" s="65"/>
      <c r="E85" s="65"/>
      <c r="F85" s="65">
        <v>3.4</v>
      </c>
      <c r="G85" s="65"/>
      <c r="H85" s="65"/>
      <c r="I85" s="65"/>
      <c r="J85" s="65"/>
      <c r="K85" s="65">
        <f t="shared" si="5"/>
        <v>3.4</v>
      </c>
      <c r="L85" s="48"/>
      <c r="M85" s="66"/>
    </row>
    <row r="86" spans="1:13" ht="12.75" hidden="1">
      <c r="A86" s="77">
        <v>250404</v>
      </c>
      <c r="B86" s="64" t="s">
        <v>169</v>
      </c>
      <c r="C86" s="65">
        <f t="shared" si="4"/>
        <v>0</v>
      </c>
      <c r="D86" s="65"/>
      <c r="E86" s="65"/>
      <c r="F86" s="65"/>
      <c r="G86" s="65"/>
      <c r="H86" s="65"/>
      <c r="I86" s="65"/>
      <c r="J86" s="65"/>
      <c r="K86" s="65">
        <f t="shared" si="5"/>
        <v>0</v>
      </c>
      <c r="L86" s="48"/>
      <c r="M86" s="66"/>
    </row>
    <row r="87" spans="1:12" s="66" customFormat="1" ht="28.5" customHeight="1" hidden="1">
      <c r="A87" s="80"/>
      <c r="B87" s="89"/>
      <c r="C87" s="69"/>
      <c r="D87" s="69"/>
      <c r="E87" s="69"/>
      <c r="F87" s="69"/>
      <c r="G87" s="69"/>
      <c r="H87" s="69"/>
      <c r="I87" s="69"/>
      <c r="J87" s="69"/>
      <c r="K87" s="65">
        <f t="shared" si="5"/>
        <v>0</v>
      </c>
      <c r="L87" s="72"/>
    </row>
    <row r="88" spans="1:13" ht="12.75">
      <c r="A88" s="77">
        <v>250404</v>
      </c>
      <c r="B88" s="64" t="s">
        <v>170</v>
      </c>
      <c r="C88" s="65">
        <f t="shared" si="4"/>
        <v>225.1</v>
      </c>
      <c r="D88" s="65"/>
      <c r="E88" s="65"/>
      <c r="F88" s="65">
        <f>225.1</f>
        <v>225.1</v>
      </c>
      <c r="G88" s="65"/>
      <c r="H88" s="65"/>
      <c r="I88" s="65"/>
      <c r="J88" s="65"/>
      <c r="K88" s="65">
        <f t="shared" si="5"/>
        <v>225.1</v>
      </c>
      <c r="L88" s="48"/>
      <c r="M88" s="66"/>
    </row>
    <row r="89" spans="1:13" s="66" customFormat="1" ht="12.75">
      <c r="A89" s="80"/>
      <c r="B89" s="68" t="s">
        <v>171</v>
      </c>
      <c r="C89" s="69">
        <f>D89+E89+F89+G89</f>
        <v>428094.8</v>
      </c>
      <c r="D89" s="69">
        <f>D83+D76+D75+D74+D72+D70+D69+D62+D56+D55+D49+D45+D41+D26+D25+D24+D15+D13+D87+D60</f>
        <v>125350.2</v>
      </c>
      <c r="E89" s="69">
        <f>E83+E76+E75+E74+E72+E70+E69+E62+E56+E55+E49+E45+E41+E26+E25+E24+E15+E13+E87+E60</f>
        <v>30235.9</v>
      </c>
      <c r="F89" s="69">
        <f>F83+F76+F75+F74+F72+F70+F69+F62+F56+F55+F49+F45+F41+F26+F25+F24+F15+F13+F87+F60</f>
        <v>242534.90000000002</v>
      </c>
      <c r="G89" s="69">
        <f>G83+G76+G75+G74+G72+G70+G69+G62+G56+G55+G49+G45+G41+G26+G25+G24+G15+G13+G87+G60</f>
        <v>29973.8</v>
      </c>
      <c r="H89" s="69">
        <f>H83+H76+H75+H74+H72+H62+H56+H55+H49+H45+H41+H26+H25+H24+H15+H13+H87+H73+H60+H71</f>
        <v>113152.49999999997</v>
      </c>
      <c r="I89" s="69">
        <f>I83+I76+I75+I74+I72+I62+I56+I55+I49+I45+I41+I26+I25+I24+I15+I13+I87+I73+I60+I71</f>
        <v>40981.399999999994</v>
      </c>
      <c r="J89" s="69">
        <f>J83+J76+J75+J74+J72+J62+J56+J55+J49+J45+J41+J26+J25+J24+J15+J13+J87+J73+J60</f>
        <v>1500.4</v>
      </c>
      <c r="K89" s="69">
        <f>K83+K76+K75+K74+K72+K62+K56+K55+K49+K45+K41+K26+K25+K24+K15+K13+K87+K73+K60+K71</f>
        <v>536242.8</v>
      </c>
      <c r="L89" s="72">
        <v>39831.4</v>
      </c>
      <c r="M89" s="90"/>
    </row>
    <row r="90" spans="1:12" s="66" customFormat="1" ht="28.5" customHeight="1" hidden="1">
      <c r="A90" s="80"/>
      <c r="B90" s="89" t="s">
        <v>172</v>
      </c>
      <c r="C90" s="69">
        <f>D90+E90+F90</f>
        <v>0</v>
      </c>
      <c r="D90" s="69"/>
      <c r="E90" s="69"/>
      <c r="F90" s="69">
        <f>380512.3-338534.6-9012.3-13387.8-19577.6</f>
        <v>0</v>
      </c>
      <c r="G90" s="69"/>
      <c r="H90" s="69"/>
      <c r="I90" s="69"/>
      <c r="J90" s="69"/>
      <c r="K90" s="69">
        <f>C90+H90</f>
        <v>0</v>
      </c>
      <c r="L90" s="72"/>
    </row>
    <row r="91" spans="1:59" ht="38.25">
      <c r="A91" s="91" t="s">
        <v>173</v>
      </c>
      <c r="B91" s="74" t="s">
        <v>174</v>
      </c>
      <c r="C91" s="92">
        <f>D91+E91+F91+G91</f>
        <v>159.6</v>
      </c>
      <c r="D91" s="65"/>
      <c r="E91" s="65"/>
      <c r="F91" s="65">
        <f>163-3.4</f>
        <v>159.6</v>
      </c>
      <c r="G91" s="93"/>
      <c r="H91" s="93"/>
      <c r="I91" s="65"/>
      <c r="J91" s="65"/>
      <c r="K91" s="65">
        <f>C91+H91</f>
        <v>159.6</v>
      </c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</row>
    <row r="92" spans="1:13" ht="38.25">
      <c r="A92" s="77">
        <v>250306</v>
      </c>
      <c r="B92" s="64" t="s">
        <v>175</v>
      </c>
      <c r="C92" s="65">
        <f t="shared" si="4"/>
        <v>15512.2</v>
      </c>
      <c r="D92" s="69"/>
      <c r="E92" s="69"/>
      <c r="F92" s="65">
        <f>7890+5482.2+1000+740+400</f>
        <v>15512.2</v>
      </c>
      <c r="G92" s="69"/>
      <c r="H92" s="69"/>
      <c r="I92" s="69"/>
      <c r="J92" s="69"/>
      <c r="K92" s="65">
        <f t="shared" si="5"/>
        <v>15512.2</v>
      </c>
      <c r="L92" s="48"/>
      <c r="M92" s="66"/>
    </row>
    <row r="93" spans="1:13" ht="49.5" customHeight="1">
      <c r="A93" s="77">
        <v>250313</v>
      </c>
      <c r="B93" s="64" t="s">
        <v>176</v>
      </c>
      <c r="C93" s="65">
        <f t="shared" si="4"/>
        <v>10279.1</v>
      </c>
      <c r="D93" s="65"/>
      <c r="E93" s="65"/>
      <c r="F93" s="65">
        <v>10279.1</v>
      </c>
      <c r="G93" s="65"/>
      <c r="H93" s="65"/>
      <c r="I93" s="65"/>
      <c r="J93" s="65"/>
      <c r="K93" s="65">
        <f t="shared" si="5"/>
        <v>10279.1</v>
      </c>
      <c r="L93" s="48"/>
      <c r="M93" s="66"/>
    </row>
    <row r="94" spans="1:13" ht="25.5">
      <c r="A94" s="77">
        <v>250301</v>
      </c>
      <c r="B94" s="95" t="s">
        <v>177</v>
      </c>
      <c r="C94" s="65">
        <f t="shared" si="4"/>
        <v>62744.8</v>
      </c>
      <c r="D94" s="65"/>
      <c r="E94" s="65"/>
      <c r="F94" s="65">
        <v>62744.8</v>
      </c>
      <c r="G94" s="65"/>
      <c r="H94" s="65"/>
      <c r="I94" s="65"/>
      <c r="J94" s="65"/>
      <c r="K94" s="65">
        <f t="shared" si="5"/>
        <v>62744.8</v>
      </c>
      <c r="L94" s="48"/>
      <c r="M94" s="66"/>
    </row>
    <row r="95" spans="1:13" ht="12.75">
      <c r="A95" s="77">
        <v>250350</v>
      </c>
      <c r="B95" s="95" t="s">
        <v>178</v>
      </c>
      <c r="C95" s="65">
        <v>5300</v>
      </c>
      <c r="D95" s="65"/>
      <c r="E95" s="65"/>
      <c r="F95" s="65">
        <v>5300</v>
      </c>
      <c r="G95" s="65"/>
      <c r="H95" s="65"/>
      <c r="I95" s="65"/>
      <c r="J95" s="65"/>
      <c r="K95" s="65">
        <f t="shared" si="5"/>
        <v>5300</v>
      </c>
      <c r="L95" s="48"/>
      <c r="M95" s="66"/>
    </row>
    <row r="96" spans="1:13" ht="12.75">
      <c r="A96" s="77">
        <v>250904</v>
      </c>
      <c r="B96" s="95" t="s">
        <v>179</v>
      </c>
      <c r="C96" s="65">
        <f t="shared" si="4"/>
        <v>0</v>
      </c>
      <c r="D96" s="65"/>
      <c r="E96" s="65"/>
      <c r="F96" s="65"/>
      <c r="G96" s="65"/>
      <c r="H96" s="65">
        <v>-10</v>
      </c>
      <c r="I96" s="65">
        <v>-10</v>
      </c>
      <c r="J96" s="65"/>
      <c r="K96" s="65">
        <f>C96+H96</f>
        <v>-10</v>
      </c>
      <c r="L96" s="48"/>
      <c r="M96" s="66"/>
    </row>
    <row r="97" spans="1:13" s="66" customFormat="1" ht="12.75">
      <c r="A97" s="96"/>
      <c r="B97" s="68" t="s">
        <v>180</v>
      </c>
      <c r="C97" s="69">
        <f>C89+C93+C96+C94+C92+C90+C91+C95</f>
        <v>522090.49999999994</v>
      </c>
      <c r="D97" s="69">
        <f>D89+D93+D96+D94+D92+D90+D91</f>
        <v>125350.2</v>
      </c>
      <c r="E97" s="69">
        <f>E89+E93+E96+E94+E92+E90+E91</f>
        <v>30235.9</v>
      </c>
      <c r="F97" s="69">
        <f>F89+F93+F96+F94+F92+F90+F91+F95</f>
        <v>336530.60000000003</v>
      </c>
      <c r="G97" s="69">
        <f>G89+G93+G96+G94+G92</f>
        <v>29973.8</v>
      </c>
      <c r="H97" s="69">
        <f>H89+H93+H96</f>
        <v>113142.49999999997</v>
      </c>
      <c r="I97" s="69">
        <f>I89+I93+I96</f>
        <v>40971.399999999994</v>
      </c>
      <c r="J97" s="69">
        <f>J89+J93+J96</f>
        <v>1500.4</v>
      </c>
      <c r="K97" s="69">
        <f t="shared" si="5"/>
        <v>635232.9999999999</v>
      </c>
      <c r="L97" s="72"/>
      <c r="M97" s="90"/>
    </row>
    <row r="98" spans="3:11" ht="12.75">
      <c r="C98" s="97">
        <v>522090.5</v>
      </c>
      <c r="D98" s="97">
        <v>125350.2</v>
      </c>
      <c r="E98" s="97">
        <v>30235.9</v>
      </c>
      <c r="F98" s="97">
        <v>336530.6</v>
      </c>
      <c r="G98" s="97">
        <v>29973.8</v>
      </c>
      <c r="H98" s="97">
        <v>113142.5</v>
      </c>
      <c r="I98" s="97">
        <v>40971.4</v>
      </c>
      <c r="J98" s="97">
        <v>1500.4</v>
      </c>
      <c r="K98" s="97">
        <v>635233</v>
      </c>
    </row>
    <row r="99" ht="12.75" hidden="1">
      <c r="C99" s="98"/>
    </row>
    <row r="100" ht="12.75">
      <c r="C100" s="98"/>
    </row>
    <row r="101" spans="3:11" ht="12.75"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6:8" ht="12.75">
      <c r="F102" s="98"/>
      <c r="G102" s="98"/>
      <c r="H102" s="98"/>
    </row>
  </sheetData>
  <mergeCells count="12">
    <mergeCell ref="K9:K11"/>
    <mergeCell ref="C10:C11"/>
    <mergeCell ref="D10:G10"/>
    <mergeCell ref="H10:H11"/>
    <mergeCell ref="J10:J11"/>
    <mergeCell ref="H1:J1"/>
    <mergeCell ref="A6:H6"/>
    <mergeCell ref="A7:H7"/>
    <mergeCell ref="A9:A11"/>
    <mergeCell ref="B9:B11"/>
    <mergeCell ref="C9:G9"/>
    <mergeCell ref="H9:J9"/>
  </mergeCells>
  <printOptions/>
  <pageMargins left="0.5511811023622047" right="0.3937007874015748" top="0.3937007874015748" bottom="0.3937007874015748" header="0.5118110236220472" footer="0.5118110236220472"/>
  <pageSetup horizontalDpi="600" verticalDpi="600" orientation="portrait" paperSize="9" scale="78" r:id="rId1"/>
  <rowBreaks count="1" manualBreakCount="1">
    <brk id="4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224"/>
  <sheetViews>
    <sheetView tabSelected="1" view="pageBreakPreview" zoomScale="65" zoomScaleNormal="65" zoomScaleSheetLayoutView="65" workbookViewId="0" topLeftCell="A59">
      <selection activeCell="B65" sqref="B65"/>
    </sheetView>
  </sheetViews>
  <sheetFormatPr defaultColWidth="9.00390625" defaultRowHeight="12.75"/>
  <cols>
    <col min="1" max="1" width="8.125" style="99" customWidth="1"/>
    <col min="2" max="2" width="23.75390625" style="100" customWidth="1"/>
    <col min="3" max="3" width="10.125" style="41" customWidth="1"/>
    <col min="4" max="4" width="10.00390625" style="41" customWidth="1"/>
    <col min="5" max="5" width="9.125" style="41" customWidth="1"/>
    <col min="6" max="6" width="10.125" style="41" customWidth="1"/>
    <col min="7" max="7" width="8.75390625" style="41" customWidth="1"/>
    <col min="8" max="8" width="9.75390625" style="41" customWidth="1"/>
    <col min="9" max="9" width="9.625" style="41" customWidth="1"/>
    <col min="10" max="10" width="8.75390625" style="41" customWidth="1"/>
    <col min="11" max="11" width="11.25390625" style="41" customWidth="1"/>
    <col min="12" max="59" width="8.875" style="101" customWidth="1"/>
    <col min="60" max="16384" width="8.875" style="41" customWidth="1"/>
  </cols>
  <sheetData>
    <row r="1" spans="6:11" ht="12.75" customHeight="1" hidden="1">
      <c r="F1" s="219"/>
      <c r="G1" s="219"/>
      <c r="H1" s="219"/>
      <c r="I1" s="219"/>
      <c r="J1" s="219"/>
      <c r="K1" s="219"/>
    </row>
    <row r="2" spans="6:11" ht="12.75" customHeight="1" hidden="1">
      <c r="F2" s="43"/>
      <c r="G2" s="43"/>
      <c r="H2" s="43"/>
      <c r="I2" s="43"/>
      <c r="J2" s="43"/>
      <c r="K2" s="43"/>
    </row>
    <row r="3" spans="6:11" ht="12.75" customHeight="1" hidden="1">
      <c r="F3" s="42" t="s">
        <v>181</v>
      </c>
      <c r="G3" s="42"/>
      <c r="H3" s="42"/>
      <c r="I3" s="42"/>
      <c r="J3" s="42"/>
      <c r="K3" s="42"/>
    </row>
    <row r="4" spans="5:11" ht="12.75">
      <c r="E4" s="102" t="s">
        <v>182</v>
      </c>
      <c r="H4" s="220" t="s">
        <v>183</v>
      </c>
      <c r="I4" s="220"/>
      <c r="J4" s="220"/>
      <c r="K4" s="220"/>
    </row>
    <row r="5" spans="8:11" ht="12.75">
      <c r="H5" s="43" t="s">
        <v>1</v>
      </c>
      <c r="I5" s="44"/>
      <c r="J5" s="44"/>
      <c r="K5" s="44"/>
    </row>
    <row r="6" spans="8:11" ht="13.5" customHeight="1">
      <c r="H6" s="221"/>
      <c r="I6" s="221"/>
      <c r="J6" s="221"/>
      <c r="K6" s="221"/>
    </row>
    <row r="7" ht="13.5" customHeight="1"/>
    <row r="8" spans="1:11" ht="15.75">
      <c r="A8" s="197" t="s">
        <v>184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</row>
    <row r="9" spans="1:11" ht="15" customHeight="1">
      <c r="A9" s="197" t="s">
        <v>185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</row>
    <row r="10" spans="8:11" ht="13.5" thickBot="1">
      <c r="H10" s="183" t="s">
        <v>3</v>
      </c>
      <c r="I10" s="183"/>
      <c r="J10" s="183"/>
      <c r="K10" s="183"/>
    </row>
    <row r="11" spans="1:11" ht="24.75" customHeight="1" thickBot="1">
      <c r="A11" s="184" t="s">
        <v>59</v>
      </c>
      <c r="B11" s="180" t="s">
        <v>186</v>
      </c>
      <c r="C11" s="216" t="s">
        <v>61</v>
      </c>
      <c r="D11" s="217"/>
      <c r="E11" s="217"/>
      <c r="F11" s="217"/>
      <c r="G11" s="218"/>
      <c r="H11" s="206" t="s">
        <v>62</v>
      </c>
      <c r="I11" s="207"/>
      <c r="J11" s="208"/>
      <c r="K11" s="214" t="s">
        <v>63</v>
      </c>
    </row>
    <row r="12" spans="1:11" ht="40.5" customHeight="1" thickBot="1">
      <c r="A12" s="185"/>
      <c r="B12" s="181"/>
      <c r="C12" s="223" t="s">
        <v>8</v>
      </c>
      <c r="D12" s="216" t="s">
        <v>64</v>
      </c>
      <c r="E12" s="217"/>
      <c r="F12" s="217"/>
      <c r="G12" s="218"/>
      <c r="H12" s="223" t="s">
        <v>8</v>
      </c>
      <c r="I12" s="55" t="s">
        <v>65</v>
      </c>
      <c r="J12" s="214" t="s">
        <v>66</v>
      </c>
      <c r="K12" s="222"/>
    </row>
    <row r="13" spans="1:11" ht="96" customHeight="1" thickBot="1">
      <c r="A13" s="186"/>
      <c r="B13" s="182"/>
      <c r="C13" s="224"/>
      <c r="D13" s="55" t="s">
        <v>67</v>
      </c>
      <c r="E13" s="55" t="s">
        <v>68</v>
      </c>
      <c r="F13" s="55" t="s">
        <v>69</v>
      </c>
      <c r="G13" s="55" t="s">
        <v>187</v>
      </c>
      <c r="H13" s="224"/>
      <c r="I13" s="55" t="s">
        <v>71</v>
      </c>
      <c r="J13" s="215"/>
      <c r="K13" s="215"/>
    </row>
    <row r="14" spans="1:11" ht="13.5" thickBot="1">
      <c r="A14" s="103">
        <v>1</v>
      </c>
      <c r="B14" s="104">
        <v>2</v>
      </c>
      <c r="C14" s="105">
        <v>3</v>
      </c>
      <c r="D14" s="105">
        <v>4</v>
      </c>
      <c r="E14" s="105">
        <v>5</v>
      </c>
      <c r="F14" s="105">
        <v>6</v>
      </c>
      <c r="G14" s="105">
        <v>7</v>
      </c>
      <c r="H14" s="105">
        <v>8</v>
      </c>
      <c r="I14" s="105">
        <v>9</v>
      </c>
      <c r="J14" s="105">
        <v>10</v>
      </c>
      <c r="K14" s="105">
        <v>11</v>
      </c>
    </row>
    <row r="15" spans="1:59" s="110" customFormat="1" ht="24.75" customHeight="1">
      <c r="A15" s="106"/>
      <c r="B15" s="107" t="s">
        <v>188</v>
      </c>
      <c r="C15" s="108">
        <f>SUM(C16:C25)+C87</f>
        <v>28568.5</v>
      </c>
      <c r="D15" s="108">
        <f aca="true" t="shared" si="0" ref="D15:I15">SUM(D16:D25)</f>
        <v>427.1</v>
      </c>
      <c r="E15" s="108">
        <f t="shared" si="0"/>
        <v>937.4</v>
      </c>
      <c r="F15" s="108">
        <f t="shared" si="0"/>
        <v>26438.9</v>
      </c>
      <c r="G15" s="108">
        <f t="shared" si="0"/>
        <v>765.1</v>
      </c>
      <c r="H15" s="108">
        <f t="shared" si="0"/>
        <v>10</v>
      </c>
      <c r="I15" s="108">
        <f t="shared" si="0"/>
        <v>10</v>
      </c>
      <c r="J15" s="108">
        <f>SUM(J16:J25)+J87</f>
        <v>0</v>
      </c>
      <c r="K15" s="108">
        <f>SUM(K16:K25)</f>
        <v>28578.5</v>
      </c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</row>
    <row r="16" spans="1:59" ht="25.5" customHeight="1">
      <c r="A16" s="111" t="s">
        <v>74</v>
      </c>
      <c r="B16" s="112" t="s">
        <v>75</v>
      </c>
      <c r="C16" s="92">
        <f aca="true" t="shared" si="1" ref="C16:C84">D16+E16+F16+G16</f>
        <v>5813</v>
      </c>
      <c r="D16" s="65">
        <f>394.5+20+12.6</f>
        <v>427.1</v>
      </c>
      <c r="E16" s="65">
        <f>787.4+150</f>
        <v>937.4</v>
      </c>
      <c r="F16" s="65">
        <f>4631.1-20-12.6-150</f>
        <v>4448.5</v>
      </c>
      <c r="G16" s="65"/>
      <c r="H16" s="65"/>
      <c r="I16" s="65"/>
      <c r="J16" s="65"/>
      <c r="K16" s="65">
        <f aca="true" t="shared" si="2" ref="K16:K37">C16+H16</f>
        <v>5813</v>
      </c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</row>
    <row r="17" spans="1:59" ht="38.25" customHeight="1">
      <c r="A17" s="111" t="s">
        <v>189</v>
      </c>
      <c r="B17" s="112" t="s">
        <v>190</v>
      </c>
      <c r="C17" s="92">
        <f t="shared" si="1"/>
        <v>36</v>
      </c>
      <c r="D17" s="65"/>
      <c r="E17" s="65"/>
      <c r="F17" s="65">
        <v>36</v>
      </c>
      <c r="G17" s="65"/>
      <c r="H17" s="65"/>
      <c r="I17" s="65"/>
      <c r="J17" s="65"/>
      <c r="K17" s="65">
        <f t="shared" si="2"/>
        <v>36</v>
      </c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</row>
    <row r="18" spans="1:59" ht="39" customHeight="1">
      <c r="A18" s="111" t="s">
        <v>102</v>
      </c>
      <c r="B18" s="74" t="s">
        <v>103</v>
      </c>
      <c r="C18" s="92">
        <f t="shared" si="1"/>
        <v>27</v>
      </c>
      <c r="D18" s="65"/>
      <c r="E18" s="65"/>
      <c r="F18" s="65">
        <f>27</f>
        <v>27</v>
      </c>
      <c r="G18" s="65"/>
      <c r="H18" s="65"/>
      <c r="I18" s="65"/>
      <c r="J18" s="65"/>
      <c r="K18" s="65">
        <f t="shared" si="2"/>
        <v>27</v>
      </c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</row>
    <row r="19" spans="1:59" ht="54.75" customHeight="1">
      <c r="A19" s="111" t="s">
        <v>191</v>
      </c>
      <c r="B19" s="113" t="s">
        <v>192</v>
      </c>
      <c r="C19" s="92">
        <f t="shared" si="1"/>
        <v>11800</v>
      </c>
      <c r="D19" s="65"/>
      <c r="E19" s="65"/>
      <c r="F19" s="65">
        <f>7300+4500</f>
        <v>11800</v>
      </c>
      <c r="G19" s="65"/>
      <c r="H19" s="65"/>
      <c r="I19" s="65"/>
      <c r="J19" s="65"/>
      <c r="K19" s="65">
        <f t="shared" si="2"/>
        <v>11800</v>
      </c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</row>
    <row r="20" spans="1:59" ht="13.5" customHeight="1">
      <c r="A20" s="111">
        <v>250404</v>
      </c>
      <c r="B20" s="112" t="s">
        <v>193</v>
      </c>
      <c r="C20" s="92">
        <f t="shared" si="1"/>
        <v>225</v>
      </c>
      <c r="D20" s="65"/>
      <c r="E20" s="65"/>
      <c r="F20" s="65">
        <v>225</v>
      </c>
      <c r="G20" s="65"/>
      <c r="H20" s="65"/>
      <c r="I20" s="65"/>
      <c r="J20" s="65"/>
      <c r="K20" s="65">
        <f t="shared" si="2"/>
        <v>225</v>
      </c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</row>
    <row r="21" spans="1:59" ht="39" customHeight="1">
      <c r="A21" s="111">
        <v>180109</v>
      </c>
      <c r="B21" s="74" t="s">
        <v>153</v>
      </c>
      <c r="C21" s="92">
        <f>D21+E21+F21+G21</f>
        <v>4804.5</v>
      </c>
      <c r="D21" s="65"/>
      <c r="E21" s="65"/>
      <c r="F21" s="65">
        <f>4960-155.5</f>
        <v>4804.5</v>
      </c>
      <c r="G21" s="65"/>
      <c r="H21" s="65"/>
      <c r="I21" s="65"/>
      <c r="J21" s="65"/>
      <c r="K21" s="65">
        <f t="shared" si="2"/>
        <v>4804.5</v>
      </c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</row>
    <row r="22" spans="1:59" ht="89.25">
      <c r="A22" s="111" t="s">
        <v>155</v>
      </c>
      <c r="B22" s="74" t="s">
        <v>156</v>
      </c>
      <c r="C22" s="92"/>
      <c r="D22" s="65"/>
      <c r="E22" s="65"/>
      <c r="F22" s="65"/>
      <c r="G22" s="65"/>
      <c r="H22" s="65">
        <v>10</v>
      </c>
      <c r="I22" s="65">
        <v>10</v>
      </c>
      <c r="J22" s="65"/>
      <c r="K22" s="65">
        <f t="shared" si="2"/>
        <v>10</v>
      </c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</row>
    <row r="23" spans="1:59" s="66" customFormat="1" ht="51.75" customHeight="1">
      <c r="A23" s="91">
        <v>180410</v>
      </c>
      <c r="B23" s="74" t="s">
        <v>157</v>
      </c>
      <c r="C23" s="92">
        <f>D23+E23+F23+G23</f>
        <v>14.5</v>
      </c>
      <c r="D23" s="65"/>
      <c r="E23" s="65"/>
      <c r="F23" s="65">
        <v>14.5</v>
      </c>
      <c r="G23" s="93"/>
      <c r="H23" s="93"/>
      <c r="I23" s="65"/>
      <c r="J23" s="65"/>
      <c r="K23" s="65">
        <f>C23+H23</f>
        <v>14.5</v>
      </c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</row>
    <row r="24" spans="1:59" ht="27" customHeight="1">
      <c r="A24" s="111" t="s">
        <v>194</v>
      </c>
      <c r="B24" s="74" t="s">
        <v>168</v>
      </c>
      <c r="C24" s="92">
        <f>D24+E24+F24+G24</f>
        <v>3.4</v>
      </c>
      <c r="D24" s="65"/>
      <c r="E24" s="65"/>
      <c r="F24" s="65">
        <v>3.4</v>
      </c>
      <c r="G24" s="65"/>
      <c r="H24" s="65"/>
      <c r="I24" s="65"/>
      <c r="J24" s="65"/>
      <c r="K24" s="65">
        <f t="shared" si="2"/>
        <v>3.4</v>
      </c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</row>
    <row r="25" spans="1:59" ht="54.75" customHeight="1">
      <c r="A25" s="111"/>
      <c r="B25" s="115" t="s">
        <v>77</v>
      </c>
      <c r="C25" s="116">
        <f aca="true" t="shared" si="3" ref="C25:K25">C26</f>
        <v>5845.1</v>
      </c>
      <c r="D25" s="116">
        <f t="shared" si="3"/>
        <v>0</v>
      </c>
      <c r="E25" s="116">
        <f t="shared" si="3"/>
        <v>0</v>
      </c>
      <c r="F25" s="116">
        <f t="shared" si="3"/>
        <v>5080</v>
      </c>
      <c r="G25" s="116">
        <f t="shared" si="3"/>
        <v>765.1</v>
      </c>
      <c r="H25" s="116">
        <f t="shared" si="3"/>
        <v>0</v>
      </c>
      <c r="I25" s="116">
        <f t="shared" si="3"/>
        <v>0</v>
      </c>
      <c r="J25" s="116">
        <f t="shared" si="3"/>
        <v>0</v>
      </c>
      <c r="K25" s="116">
        <f t="shared" si="3"/>
        <v>5845.1</v>
      </c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</row>
    <row r="26" spans="1:59" ht="39.75" customHeight="1">
      <c r="A26" s="63" t="s">
        <v>90</v>
      </c>
      <c r="B26" s="70" t="s">
        <v>91</v>
      </c>
      <c r="C26" s="65">
        <f>D26+E26+F26+G26</f>
        <v>5845.1</v>
      </c>
      <c r="D26" s="65"/>
      <c r="E26" s="65"/>
      <c r="F26" s="65">
        <f>2300+1160+20+800+800</f>
        <v>5080</v>
      </c>
      <c r="G26" s="65">
        <f>820.1+7+60-7-110-5</f>
        <v>765.1</v>
      </c>
      <c r="H26" s="65"/>
      <c r="I26" s="65"/>
      <c r="J26" s="65"/>
      <c r="K26" s="65">
        <f>C26+H26</f>
        <v>5845.1</v>
      </c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</row>
    <row r="27" spans="1:12" s="66" customFormat="1" ht="27" customHeight="1">
      <c r="A27" s="67"/>
      <c r="B27" s="87" t="s">
        <v>195</v>
      </c>
      <c r="C27" s="117">
        <f t="shared" si="1"/>
        <v>72712.9</v>
      </c>
      <c r="D27" s="69">
        <f aca="true" t="shared" si="4" ref="D27:I27">SUM(D28:D33)</f>
        <v>28250.799999999996</v>
      </c>
      <c r="E27" s="69">
        <f t="shared" si="4"/>
        <v>7363.400000000001</v>
      </c>
      <c r="F27" s="69">
        <f t="shared" si="4"/>
        <v>33305.299999999996</v>
      </c>
      <c r="G27" s="69">
        <f t="shared" si="4"/>
        <v>3793.4</v>
      </c>
      <c r="H27" s="69">
        <f t="shared" si="4"/>
        <v>1108.8</v>
      </c>
      <c r="I27" s="69">
        <f t="shared" si="4"/>
        <v>0</v>
      </c>
      <c r="J27" s="69"/>
      <c r="K27" s="69">
        <f t="shared" si="2"/>
        <v>73821.7</v>
      </c>
      <c r="L27" s="72"/>
    </row>
    <row r="28" spans="1:59" ht="27" customHeight="1">
      <c r="A28" s="63" t="s">
        <v>92</v>
      </c>
      <c r="B28" s="74" t="s">
        <v>195</v>
      </c>
      <c r="C28" s="92">
        <f t="shared" si="1"/>
        <v>71952.99999999999</v>
      </c>
      <c r="D28" s="93">
        <f>27356.6+573</f>
        <v>27929.6</v>
      </c>
      <c r="E28" s="93">
        <v>7312.1</v>
      </c>
      <c r="F28" s="93">
        <f>31429.8+300+36+700+213.2+174.7+64.2</f>
        <v>32917.899999999994</v>
      </c>
      <c r="G28" s="93">
        <f>3513.4+234.7+45.3</f>
        <v>3793.4</v>
      </c>
      <c r="H28" s="93">
        <v>930.1</v>
      </c>
      <c r="I28" s="65"/>
      <c r="J28" s="65"/>
      <c r="K28" s="65">
        <f t="shared" si="2"/>
        <v>72883.09999999999</v>
      </c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</row>
    <row r="29" spans="1:59" ht="0.75" customHeight="1" hidden="1">
      <c r="A29" s="118"/>
      <c r="B29" s="119"/>
      <c r="C29" s="92">
        <f t="shared" si="1"/>
        <v>0</v>
      </c>
      <c r="D29" s="93"/>
      <c r="E29" s="93"/>
      <c r="F29" s="93"/>
      <c r="G29" s="93"/>
      <c r="H29" s="93"/>
      <c r="I29" s="65"/>
      <c r="J29" s="65"/>
      <c r="K29" s="65">
        <f t="shared" si="2"/>
        <v>0</v>
      </c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</row>
    <row r="30" spans="1:59" ht="27" customHeight="1" hidden="1">
      <c r="A30" s="120"/>
      <c r="B30" s="121"/>
      <c r="C30" s="92">
        <f t="shared" si="1"/>
        <v>0</v>
      </c>
      <c r="D30" s="93"/>
      <c r="E30" s="93"/>
      <c r="F30" s="93"/>
      <c r="G30" s="93"/>
      <c r="H30" s="93"/>
      <c r="I30" s="65"/>
      <c r="J30" s="65"/>
      <c r="K30" s="65">
        <f t="shared" si="2"/>
        <v>0</v>
      </c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</row>
    <row r="31" spans="1:59" ht="54" customHeight="1">
      <c r="A31" s="63">
        <v>130000</v>
      </c>
      <c r="B31" s="113" t="s">
        <v>196</v>
      </c>
      <c r="C31" s="92">
        <f t="shared" si="1"/>
        <v>325.70000000000005</v>
      </c>
      <c r="D31" s="93">
        <f>155.8+14.8</f>
        <v>170.60000000000002</v>
      </c>
      <c r="E31" s="93">
        <v>4.1</v>
      </c>
      <c r="F31" s="93">
        <f>145.5+5.5</f>
        <v>151</v>
      </c>
      <c r="G31" s="93"/>
      <c r="H31" s="93"/>
      <c r="I31" s="65"/>
      <c r="J31" s="65"/>
      <c r="K31" s="65">
        <f t="shared" si="2"/>
        <v>325.70000000000005</v>
      </c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</row>
    <row r="32" spans="1:59" ht="39" customHeight="1">
      <c r="A32" s="122" t="s">
        <v>92</v>
      </c>
      <c r="B32" s="113" t="s">
        <v>197</v>
      </c>
      <c r="C32" s="92">
        <f t="shared" si="1"/>
        <v>79.5</v>
      </c>
      <c r="D32" s="93"/>
      <c r="E32" s="93"/>
      <c r="F32" s="93">
        <v>79.5</v>
      </c>
      <c r="G32" s="93"/>
      <c r="H32" s="93"/>
      <c r="I32" s="65"/>
      <c r="J32" s="65"/>
      <c r="K32" s="65">
        <f t="shared" si="2"/>
        <v>79.5</v>
      </c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</row>
    <row r="33" spans="1:59" ht="51.75" customHeight="1">
      <c r="A33" s="122" t="s">
        <v>198</v>
      </c>
      <c r="B33" s="113" t="s">
        <v>199</v>
      </c>
      <c r="C33" s="92">
        <f t="shared" si="1"/>
        <v>354.70000000000005</v>
      </c>
      <c r="D33" s="93">
        <f>145.7+4.9</f>
        <v>150.6</v>
      </c>
      <c r="E33" s="93">
        <v>47.2</v>
      </c>
      <c r="F33" s="93">
        <f>57.1+1.8+98</f>
        <v>156.9</v>
      </c>
      <c r="G33" s="93"/>
      <c r="H33" s="93">
        <v>178.7</v>
      </c>
      <c r="I33" s="65"/>
      <c r="J33" s="65"/>
      <c r="K33" s="65">
        <f t="shared" si="2"/>
        <v>533.4000000000001</v>
      </c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</row>
    <row r="34" spans="1:59" s="66" customFormat="1" ht="27" customHeight="1">
      <c r="A34" s="67"/>
      <c r="B34" s="123" t="s">
        <v>200</v>
      </c>
      <c r="C34" s="117">
        <f t="shared" si="1"/>
        <v>203865.2</v>
      </c>
      <c r="D34" s="86">
        <f>D35+D36+D37+D39+D40+D38</f>
        <v>76160</v>
      </c>
      <c r="E34" s="86">
        <f>E35+E36+E37+E39+E40+E38</f>
        <v>16203.300000000001</v>
      </c>
      <c r="F34" s="86">
        <f>F35+F36+F37+F39+F40+F38</f>
        <v>100780.7</v>
      </c>
      <c r="G34" s="86">
        <f>G35+G36+G37+G39+G40+G38</f>
        <v>10721.2</v>
      </c>
      <c r="H34" s="86">
        <f>H35+H37+H39+H40</f>
        <v>10274.3</v>
      </c>
      <c r="I34" s="69">
        <v>1342.5</v>
      </c>
      <c r="J34" s="69"/>
      <c r="K34" s="69">
        <f t="shared" si="2"/>
        <v>214139.5</v>
      </c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</row>
    <row r="35" spans="1:59" ht="42.75" customHeight="1">
      <c r="A35" s="63" t="s">
        <v>94</v>
      </c>
      <c r="B35" s="113" t="s">
        <v>201</v>
      </c>
      <c r="C35" s="92">
        <f t="shared" si="1"/>
        <v>179869.4</v>
      </c>
      <c r="D35" s="93">
        <f>70800.2+3171.2</f>
        <v>73971.4</v>
      </c>
      <c r="E35" s="93">
        <v>15800</v>
      </c>
      <c r="F35" s="93">
        <f>85917.2+700+1179.7+449.5+1000+76+775.6</f>
        <v>90098</v>
      </c>
      <c r="G35" s="65"/>
      <c r="H35" s="65">
        <v>7742.6</v>
      </c>
      <c r="I35" s="65">
        <v>1342.5</v>
      </c>
      <c r="J35" s="65"/>
      <c r="K35" s="65">
        <f t="shared" si="2"/>
        <v>187612</v>
      </c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</row>
    <row r="36" spans="1:59" ht="31.5" customHeight="1">
      <c r="A36" s="63"/>
      <c r="B36" s="113" t="s">
        <v>202</v>
      </c>
      <c r="C36" s="92">
        <f t="shared" si="1"/>
        <v>10721.2</v>
      </c>
      <c r="D36" s="93"/>
      <c r="E36" s="93"/>
      <c r="F36" s="93"/>
      <c r="G36" s="93">
        <f>10808-86.8</f>
        <v>10721.2</v>
      </c>
      <c r="H36" s="93"/>
      <c r="I36" s="93"/>
      <c r="J36" s="93"/>
      <c r="K36" s="93">
        <f t="shared" si="2"/>
        <v>10721.2</v>
      </c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</row>
    <row r="37" spans="1:59" ht="25.5">
      <c r="A37" s="63"/>
      <c r="B37" s="113" t="s">
        <v>203</v>
      </c>
      <c r="C37" s="92">
        <f t="shared" si="1"/>
        <v>7832</v>
      </c>
      <c r="D37" s="93"/>
      <c r="E37" s="93"/>
      <c r="F37" s="93">
        <f>7769+63</f>
        <v>7832</v>
      </c>
      <c r="G37" s="93"/>
      <c r="H37" s="93"/>
      <c r="I37" s="93"/>
      <c r="J37" s="93"/>
      <c r="K37" s="93">
        <f t="shared" si="2"/>
        <v>7832</v>
      </c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</row>
    <row r="38" spans="1:59" ht="25.5" hidden="1">
      <c r="A38" s="124"/>
      <c r="B38" s="74" t="s">
        <v>202</v>
      </c>
      <c r="C38" s="125">
        <f t="shared" si="1"/>
        <v>0</v>
      </c>
      <c r="D38" s="93"/>
      <c r="E38" s="93"/>
      <c r="F38" s="93"/>
      <c r="G38" s="93"/>
      <c r="H38" s="93"/>
      <c r="I38" s="65"/>
      <c r="J38" s="65"/>
      <c r="K38" s="65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</row>
    <row r="39" spans="1:59" ht="81" customHeight="1">
      <c r="A39" s="122" t="s">
        <v>92</v>
      </c>
      <c r="B39" s="113" t="s">
        <v>204</v>
      </c>
      <c r="C39" s="92">
        <f t="shared" si="1"/>
        <v>5095.799999999999</v>
      </c>
      <c r="D39" s="93">
        <f>2080.2+28.3</f>
        <v>2108.5</v>
      </c>
      <c r="E39" s="93">
        <v>392.6</v>
      </c>
      <c r="F39" s="93">
        <f>2584.2+10.5</f>
        <v>2594.7</v>
      </c>
      <c r="G39" s="93"/>
      <c r="H39" s="93">
        <v>2531.7</v>
      </c>
      <c r="I39" s="65"/>
      <c r="J39" s="65"/>
      <c r="K39" s="65">
        <f aca="true" t="shared" si="5" ref="K39:K86">C39+H39</f>
        <v>7627.499999999999</v>
      </c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</row>
    <row r="40" spans="1:59" ht="12.75" customHeight="1">
      <c r="A40" s="63">
        <v>110201</v>
      </c>
      <c r="B40" s="113" t="s">
        <v>205</v>
      </c>
      <c r="C40" s="92">
        <f t="shared" si="1"/>
        <v>346.8</v>
      </c>
      <c r="D40" s="93">
        <f>78.8+1.3</f>
        <v>80.1</v>
      </c>
      <c r="E40" s="93">
        <v>10.7</v>
      </c>
      <c r="F40" s="93">
        <f>255.5+0.5</f>
        <v>256</v>
      </c>
      <c r="G40" s="93"/>
      <c r="H40" s="93"/>
      <c r="I40" s="65"/>
      <c r="J40" s="65"/>
      <c r="K40" s="65">
        <f t="shared" si="5"/>
        <v>346.8</v>
      </c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</row>
    <row r="41" spans="1:59" s="66" customFormat="1" ht="39" customHeight="1">
      <c r="A41" s="67"/>
      <c r="B41" s="123" t="s">
        <v>206</v>
      </c>
      <c r="C41" s="117">
        <f t="shared" si="1"/>
        <v>38657.5</v>
      </c>
      <c r="D41" s="86">
        <f>SUM(D42:D50)</f>
        <v>11196.699999999999</v>
      </c>
      <c r="E41" s="86">
        <f>SUM(E42:E50)</f>
        <v>4144</v>
      </c>
      <c r="F41" s="86">
        <f>F42+F43+F45+F46+F48+F49+F50+F47</f>
        <v>23283.700000000004</v>
      </c>
      <c r="G41" s="86">
        <f>SUM(G42:G50)</f>
        <v>33.1</v>
      </c>
      <c r="H41" s="86">
        <f>SUM(H42:H50)</f>
        <v>5733.4</v>
      </c>
      <c r="I41" s="69"/>
      <c r="J41" s="69"/>
      <c r="K41" s="69">
        <f>C41+H41</f>
        <v>44390.9</v>
      </c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</row>
    <row r="42" spans="1:59" ht="29.25" customHeight="1">
      <c r="A42" s="63" t="s">
        <v>100</v>
      </c>
      <c r="B42" s="74" t="s">
        <v>101</v>
      </c>
      <c r="C42" s="92">
        <f t="shared" si="1"/>
        <v>3.3</v>
      </c>
      <c r="D42" s="65"/>
      <c r="E42" s="65"/>
      <c r="F42" s="65">
        <v>3.3</v>
      </c>
      <c r="G42" s="65"/>
      <c r="H42" s="93"/>
      <c r="I42" s="65"/>
      <c r="J42" s="65"/>
      <c r="K42" s="65">
        <f t="shared" si="5"/>
        <v>3.3</v>
      </c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</row>
    <row r="43" spans="1:59" ht="42" customHeight="1">
      <c r="A43" s="63" t="s">
        <v>102</v>
      </c>
      <c r="B43" s="74" t="s">
        <v>103</v>
      </c>
      <c r="C43" s="92">
        <f t="shared" si="1"/>
        <v>834.1</v>
      </c>
      <c r="D43" s="65"/>
      <c r="E43" s="65"/>
      <c r="F43" s="65">
        <f>471+F44-420+100</f>
        <v>801</v>
      </c>
      <c r="G43" s="65">
        <v>33.1</v>
      </c>
      <c r="H43" s="93">
        <v>130</v>
      </c>
      <c r="I43" s="65"/>
      <c r="J43" s="65"/>
      <c r="K43" s="65">
        <f t="shared" si="5"/>
        <v>964.1</v>
      </c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</row>
    <row r="44" spans="1:59" ht="99" customHeight="1">
      <c r="A44" s="63"/>
      <c r="B44" s="126" t="s">
        <v>207</v>
      </c>
      <c r="C44" s="92">
        <f t="shared" si="1"/>
        <v>650</v>
      </c>
      <c r="D44" s="65"/>
      <c r="E44" s="65"/>
      <c r="F44" s="65">
        <v>650</v>
      </c>
      <c r="G44" s="65"/>
      <c r="H44" s="93"/>
      <c r="I44" s="65"/>
      <c r="J44" s="65"/>
      <c r="K44" s="65">
        <f t="shared" si="5"/>
        <v>650</v>
      </c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</row>
    <row r="45" spans="1:59" ht="53.25" customHeight="1">
      <c r="A45" s="122" t="s">
        <v>104</v>
      </c>
      <c r="B45" s="74" t="s">
        <v>105</v>
      </c>
      <c r="C45" s="92">
        <f t="shared" si="1"/>
        <v>472.79999999999995</v>
      </c>
      <c r="D45" s="65"/>
      <c r="E45" s="65"/>
      <c r="F45" s="65">
        <f>414.9+57.9</f>
        <v>472.79999999999995</v>
      </c>
      <c r="G45" s="65"/>
      <c r="H45" s="93"/>
      <c r="I45" s="65"/>
      <c r="J45" s="65"/>
      <c r="K45" s="65">
        <f t="shared" si="5"/>
        <v>472.79999999999995</v>
      </c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</row>
    <row r="46" spans="1:59" ht="68.25" customHeight="1">
      <c r="A46" s="127" t="s">
        <v>208</v>
      </c>
      <c r="B46" s="74" t="s">
        <v>108</v>
      </c>
      <c r="C46" s="92">
        <f t="shared" si="1"/>
        <v>33620.100000000006</v>
      </c>
      <c r="D46" s="65">
        <f>10243.5+381.3</f>
        <v>10624.8</v>
      </c>
      <c r="E46" s="65">
        <v>4091.9</v>
      </c>
      <c r="F46" s="65">
        <f>18416.9+418.2-115.5+141.9+41.9</f>
        <v>18903.400000000005</v>
      </c>
      <c r="G46" s="65"/>
      <c r="H46" s="65">
        <f>1618.6+92.3+3489.1</f>
        <v>5200</v>
      </c>
      <c r="I46" s="65"/>
      <c r="J46" s="65"/>
      <c r="K46" s="65">
        <f t="shared" si="5"/>
        <v>38820.100000000006</v>
      </c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</row>
    <row r="47" spans="1:59" ht="66" customHeight="1">
      <c r="A47" s="127" t="s">
        <v>113</v>
      </c>
      <c r="B47" s="74" t="s">
        <v>114</v>
      </c>
      <c r="C47" s="92">
        <f t="shared" si="1"/>
        <v>420</v>
      </c>
      <c r="D47" s="65"/>
      <c r="E47" s="65"/>
      <c r="F47" s="65">
        <v>420</v>
      </c>
      <c r="G47" s="65"/>
      <c r="H47" s="65"/>
      <c r="I47" s="65"/>
      <c r="J47" s="65"/>
      <c r="K47" s="65">
        <f t="shared" si="5"/>
        <v>420</v>
      </c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</row>
    <row r="48" spans="1:59" ht="39.75" customHeight="1">
      <c r="A48" s="63" t="s">
        <v>115</v>
      </c>
      <c r="B48" s="113" t="s">
        <v>116</v>
      </c>
      <c r="C48" s="92">
        <f t="shared" si="1"/>
        <v>56</v>
      </c>
      <c r="D48" s="93"/>
      <c r="E48" s="93"/>
      <c r="F48" s="93">
        <v>56</v>
      </c>
      <c r="G48" s="93"/>
      <c r="H48" s="93"/>
      <c r="I48" s="65"/>
      <c r="J48" s="65"/>
      <c r="K48" s="65">
        <f t="shared" si="5"/>
        <v>56</v>
      </c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</row>
    <row r="49" spans="1:59" ht="30" customHeight="1">
      <c r="A49" s="63" t="s">
        <v>118</v>
      </c>
      <c r="B49" s="74" t="s">
        <v>119</v>
      </c>
      <c r="C49" s="92">
        <f t="shared" si="1"/>
        <v>1589.2</v>
      </c>
      <c r="D49" s="93">
        <f>529.9+42</f>
        <v>571.9</v>
      </c>
      <c r="E49" s="93">
        <v>52.1</v>
      </c>
      <c r="F49" s="93">
        <f>949.6+15.6</f>
        <v>965.2</v>
      </c>
      <c r="G49" s="93"/>
      <c r="H49" s="93">
        <v>403.4</v>
      </c>
      <c r="I49" s="65"/>
      <c r="J49" s="65"/>
      <c r="K49" s="65">
        <f t="shared" si="5"/>
        <v>1992.6</v>
      </c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</row>
    <row r="50" spans="1:59" ht="39.75" customHeight="1">
      <c r="A50" s="63" t="s">
        <v>120</v>
      </c>
      <c r="B50" s="113" t="s">
        <v>209</v>
      </c>
      <c r="C50" s="92">
        <f t="shared" si="1"/>
        <v>1662</v>
      </c>
      <c r="D50" s="93"/>
      <c r="E50" s="93"/>
      <c r="F50" s="93">
        <f>1400+261.8+0.2</f>
        <v>1662</v>
      </c>
      <c r="G50" s="93"/>
      <c r="H50" s="93"/>
      <c r="I50" s="65"/>
      <c r="J50" s="65"/>
      <c r="K50" s="65">
        <f t="shared" si="5"/>
        <v>1662</v>
      </c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</row>
    <row r="51" spans="1:59" ht="27.75" customHeight="1">
      <c r="A51" s="67"/>
      <c r="B51" s="89" t="s">
        <v>210</v>
      </c>
      <c r="C51" s="117">
        <f t="shared" si="1"/>
        <v>4785.7</v>
      </c>
      <c r="D51" s="86">
        <f>D52</f>
        <v>1467.5</v>
      </c>
      <c r="E51" s="86">
        <f>E52</f>
        <v>450.2</v>
      </c>
      <c r="F51" s="86">
        <f>F52</f>
        <v>2868</v>
      </c>
      <c r="G51" s="93"/>
      <c r="H51" s="93"/>
      <c r="I51" s="65"/>
      <c r="J51" s="65"/>
      <c r="K51" s="69">
        <f t="shared" si="5"/>
        <v>4785.7</v>
      </c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</row>
    <row r="52" spans="1:59" ht="24.75" customHeight="1">
      <c r="A52" s="63" t="s">
        <v>122</v>
      </c>
      <c r="B52" s="113" t="s">
        <v>123</v>
      </c>
      <c r="C52" s="92">
        <f>D52+E52+F52+G52</f>
        <v>4785.7</v>
      </c>
      <c r="D52" s="93">
        <f>1369.7+97.8</f>
        <v>1467.5</v>
      </c>
      <c r="E52" s="93">
        <f>409.2+41</f>
        <v>450.2</v>
      </c>
      <c r="F52" s="93">
        <f>2872.6+36.4-41</f>
        <v>2868</v>
      </c>
      <c r="G52" s="93"/>
      <c r="H52" s="93"/>
      <c r="I52" s="65"/>
      <c r="J52" s="65"/>
      <c r="K52" s="65">
        <f t="shared" si="5"/>
        <v>4785.7</v>
      </c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</row>
    <row r="53" spans="1:11" ht="69.75" customHeight="1">
      <c r="A53" s="128" t="s">
        <v>211</v>
      </c>
      <c r="B53" s="89" t="s">
        <v>212</v>
      </c>
      <c r="C53" s="117">
        <f t="shared" si="1"/>
        <v>3598.3</v>
      </c>
      <c r="D53" s="86">
        <f>206+16.2</f>
        <v>222.2</v>
      </c>
      <c r="E53" s="86">
        <v>34.3</v>
      </c>
      <c r="F53" s="86">
        <f>843.3+150+700-700+6</f>
        <v>999.3</v>
      </c>
      <c r="G53" s="86">
        <f>2101.8+232.5+8.2</f>
        <v>2342.5</v>
      </c>
      <c r="H53" s="86"/>
      <c r="I53" s="69"/>
      <c r="J53" s="69"/>
      <c r="K53" s="69">
        <f t="shared" si="5"/>
        <v>3598.3</v>
      </c>
    </row>
    <row r="54" spans="1:59" s="66" customFormat="1" ht="29.25" customHeight="1">
      <c r="A54" s="67"/>
      <c r="B54" s="89" t="s">
        <v>213</v>
      </c>
      <c r="C54" s="117">
        <f t="shared" si="1"/>
        <v>12087.5</v>
      </c>
      <c r="D54" s="86"/>
      <c r="E54" s="86"/>
      <c r="F54" s="86">
        <f>7000+F55+200+200</f>
        <v>7412.5</v>
      </c>
      <c r="G54" s="86">
        <f>4770-45-50</f>
        <v>4675</v>
      </c>
      <c r="H54" s="86"/>
      <c r="I54" s="69"/>
      <c r="J54" s="69"/>
      <c r="K54" s="69">
        <f t="shared" si="5"/>
        <v>12087.5</v>
      </c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</row>
    <row r="55" spans="1:59" ht="96" customHeight="1">
      <c r="A55" s="63" t="s">
        <v>214</v>
      </c>
      <c r="B55" s="78" t="s">
        <v>125</v>
      </c>
      <c r="C55" s="117">
        <f t="shared" si="1"/>
        <v>12.5</v>
      </c>
      <c r="D55" s="93"/>
      <c r="E55" s="93"/>
      <c r="F55" s="93">
        <v>12.5</v>
      </c>
      <c r="G55" s="93"/>
      <c r="H55" s="93"/>
      <c r="I55" s="65"/>
      <c r="J55" s="65"/>
      <c r="K55" s="65">
        <f t="shared" si="5"/>
        <v>12.5</v>
      </c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</row>
    <row r="56" spans="1:11" ht="24.75" customHeight="1">
      <c r="A56" s="70"/>
      <c r="B56" s="89" t="s">
        <v>215</v>
      </c>
      <c r="C56" s="117">
        <f t="shared" si="1"/>
        <v>29972.300000000003</v>
      </c>
      <c r="D56" s="86">
        <f>D57+D58+D59+D60+D61+D62</f>
        <v>5604.700000000001</v>
      </c>
      <c r="E56" s="86">
        <f aca="true" t="shared" si="6" ref="D56:J56">E57+E58+E59+E60+E61+E62</f>
        <v>947.5</v>
      </c>
      <c r="F56" s="86">
        <f>F57+F58+F59+F60+F61+F62+F63+F64</f>
        <v>21565.100000000002</v>
      </c>
      <c r="G56" s="86">
        <f t="shared" si="6"/>
        <v>1855</v>
      </c>
      <c r="H56" s="86">
        <f t="shared" si="6"/>
        <v>705</v>
      </c>
      <c r="I56" s="86">
        <f t="shared" si="6"/>
        <v>0</v>
      </c>
      <c r="J56" s="86">
        <f t="shared" si="6"/>
        <v>0</v>
      </c>
      <c r="K56" s="69">
        <f t="shared" si="5"/>
        <v>30677.300000000003</v>
      </c>
    </row>
    <row r="57" spans="1:59" ht="70.5" customHeight="1">
      <c r="A57" s="63" t="s">
        <v>216</v>
      </c>
      <c r="B57" s="113" t="s">
        <v>217</v>
      </c>
      <c r="C57" s="92">
        <f t="shared" si="1"/>
        <v>16809.2</v>
      </c>
      <c r="D57" s="93"/>
      <c r="E57" s="93"/>
      <c r="F57" s="93">
        <f>10387+3000+976+191.2+400</f>
        <v>14954.2</v>
      </c>
      <c r="G57" s="93">
        <f>1505+350</f>
        <v>1855</v>
      </c>
      <c r="H57" s="93"/>
      <c r="I57" s="93"/>
      <c r="J57" s="65"/>
      <c r="K57" s="65">
        <f t="shared" si="5"/>
        <v>16809.2</v>
      </c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</row>
    <row r="58" spans="1:59" ht="51.75" customHeight="1">
      <c r="A58" s="63" t="s">
        <v>218</v>
      </c>
      <c r="B58" s="113" t="s">
        <v>219</v>
      </c>
      <c r="C58" s="92">
        <f t="shared" si="1"/>
        <v>5102.700000000001</v>
      </c>
      <c r="D58" s="93">
        <f>1204.4+87</f>
        <v>1291.4</v>
      </c>
      <c r="E58" s="93">
        <f>300.9+33.5</f>
        <v>334.4</v>
      </c>
      <c r="F58" s="93">
        <f>2839.1+1821-33.5-1382.1+100+32.4+100</f>
        <v>3476.9000000000005</v>
      </c>
      <c r="G58" s="93"/>
      <c r="H58" s="93">
        <v>465</v>
      </c>
      <c r="I58" s="65"/>
      <c r="J58" s="65"/>
      <c r="K58" s="65">
        <f t="shared" si="5"/>
        <v>5567.700000000001</v>
      </c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</row>
    <row r="59" spans="1:59" ht="54" customHeight="1">
      <c r="A59" s="129">
        <v>70000</v>
      </c>
      <c r="B59" s="130" t="s">
        <v>220</v>
      </c>
      <c r="C59" s="92">
        <f t="shared" si="1"/>
        <v>7541.900000000001</v>
      </c>
      <c r="D59" s="93">
        <f>4247.1+66.2</f>
        <v>4313.3</v>
      </c>
      <c r="E59" s="93">
        <v>613.1</v>
      </c>
      <c r="F59" s="93">
        <f>2430.4+24.6+160.5</f>
        <v>2615.5</v>
      </c>
      <c r="G59" s="93"/>
      <c r="H59" s="93">
        <v>240</v>
      </c>
      <c r="I59" s="65"/>
      <c r="J59" s="65"/>
      <c r="K59" s="65">
        <f t="shared" si="5"/>
        <v>7781.900000000001</v>
      </c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</row>
    <row r="60" spans="1:59" ht="25.5" customHeight="1">
      <c r="A60" s="131">
        <v>70000</v>
      </c>
      <c r="B60" s="130" t="s">
        <v>221</v>
      </c>
      <c r="C60" s="92">
        <f t="shared" si="1"/>
        <v>12.2</v>
      </c>
      <c r="D60" s="93"/>
      <c r="E60" s="93"/>
      <c r="F60" s="93">
        <v>12.2</v>
      </c>
      <c r="G60" s="93"/>
      <c r="H60" s="93"/>
      <c r="I60" s="93"/>
      <c r="J60" s="93"/>
      <c r="K60" s="93">
        <f t="shared" si="5"/>
        <v>12.2</v>
      </c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</row>
    <row r="61" spans="1:59" ht="53.25" customHeight="1">
      <c r="A61" s="63">
        <v>110300</v>
      </c>
      <c r="B61" s="113" t="s">
        <v>222</v>
      </c>
      <c r="C61" s="92">
        <f t="shared" si="1"/>
        <v>200</v>
      </c>
      <c r="D61" s="93"/>
      <c r="E61" s="93"/>
      <c r="F61" s="93">
        <v>200</v>
      </c>
      <c r="G61" s="93"/>
      <c r="H61" s="93"/>
      <c r="I61" s="65"/>
      <c r="J61" s="65"/>
      <c r="K61" s="65">
        <f t="shared" si="5"/>
        <v>200</v>
      </c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</row>
    <row r="62" spans="1:59" ht="42" customHeight="1">
      <c r="A62" s="63">
        <v>120300</v>
      </c>
      <c r="B62" s="113" t="s">
        <v>223</v>
      </c>
      <c r="C62" s="92">
        <f t="shared" si="1"/>
        <v>58.699999999999996</v>
      </c>
      <c r="D62" s="93"/>
      <c r="E62" s="93"/>
      <c r="F62" s="93">
        <f>53.4+5.3</f>
        <v>58.699999999999996</v>
      </c>
      <c r="G62" s="93"/>
      <c r="H62" s="93"/>
      <c r="I62" s="65"/>
      <c r="J62" s="65"/>
      <c r="K62" s="65">
        <f t="shared" si="5"/>
        <v>58.699999999999996</v>
      </c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</row>
    <row r="63" spans="1:59" ht="54" customHeight="1">
      <c r="A63" s="63">
        <v>120300</v>
      </c>
      <c r="B63" s="113" t="s">
        <v>224</v>
      </c>
      <c r="C63" s="92">
        <f t="shared" si="1"/>
        <v>207.6</v>
      </c>
      <c r="D63" s="93"/>
      <c r="E63" s="93"/>
      <c r="F63" s="93">
        <v>207.6</v>
      </c>
      <c r="G63" s="93"/>
      <c r="H63" s="93"/>
      <c r="I63" s="65"/>
      <c r="J63" s="65"/>
      <c r="K63" s="65">
        <f>C63+H63</f>
        <v>207.6</v>
      </c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</row>
    <row r="64" spans="1:59" ht="54" customHeight="1">
      <c r="A64" s="63" t="s">
        <v>311</v>
      </c>
      <c r="B64" s="113" t="s">
        <v>312</v>
      </c>
      <c r="C64" s="92">
        <f t="shared" si="1"/>
        <v>40</v>
      </c>
      <c r="D64" s="93"/>
      <c r="E64" s="93"/>
      <c r="F64" s="93">
        <v>40</v>
      </c>
      <c r="G64" s="93"/>
      <c r="H64" s="93"/>
      <c r="I64" s="65"/>
      <c r="J64" s="65"/>
      <c r="K64" s="65">
        <f>C64+H64</f>
        <v>40</v>
      </c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</row>
    <row r="65" spans="1:59" s="66" customFormat="1" ht="25.5">
      <c r="A65" s="67"/>
      <c r="B65" s="89" t="s">
        <v>225</v>
      </c>
      <c r="C65" s="117">
        <f t="shared" si="1"/>
        <v>5367.6</v>
      </c>
      <c r="D65" s="86"/>
      <c r="E65" s="86"/>
      <c r="F65" s="86">
        <f>F67+F66+F68</f>
        <v>4072.5</v>
      </c>
      <c r="G65" s="86">
        <f>G67+G66+G63+G68</f>
        <v>1295.1</v>
      </c>
      <c r="H65" s="86"/>
      <c r="I65" s="69"/>
      <c r="J65" s="69"/>
      <c r="K65" s="69">
        <f t="shared" si="5"/>
        <v>5367.6</v>
      </c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</row>
    <row r="66" spans="1:59" ht="12.75">
      <c r="A66" s="129">
        <v>120100</v>
      </c>
      <c r="B66" s="84" t="s">
        <v>134</v>
      </c>
      <c r="C66" s="92">
        <f t="shared" si="1"/>
        <v>100</v>
      </c>
      <c r="D66" s="85"/>
      <c r="E66" s="85"/>
      <c r="F66" s="85">
        <f>2000-1500-400</f>
        <v>100</v>
      </c>
      <c r="G66" s="93"/>
      <c r="H66" s="93"/>
      <c r="I66" s="65"/>
      <c r="J66" s="65"/>
      <c r="K66" s="65">
        <f t="shared" si="5"/>
        <v>100</v>
      </c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</row>
    <row r="67" spans="1:59" ht="13.5" customHeight="1">
      <c r="A67" s="63">
        <v>120200</v>
      </c>
      <c r="B67" s="132" t="s">
        <v>135</v>
      </c>
      <c r="C67" s="92">
        <f t="shared" si="1"/>
        <v>5195.1</v>
      </c>
      <c r="D67" s="93"/>
      <c r="E67" s="93"/>
      <c r="F67" s="93">
        <f>4200-300</f>
        <v>3900</v>
      </c>
      <c r="G67" s="93">
        <v>1295.1</v>
      </c>
      <c r="H67" s="93"/>
      <c r="I67" s="65"/>
      <c r="J67" s="65"/>
      <c r="K67" s="65">
        <f t="shared" si="5"/>
        <v>5195.1</v>
      </c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</row>
    <row r="68" spans="1:59" ht="38.25">
      <c r="A68" s="63">
        <v>120300</v>
      </c>
      <c r="B68" s="113" t="s">
        <v>226</v>
      </c>
      <c r="C68" s="92">
        <f t="shared" si="1"/>
        <v>72.5</v>
      </c>
      <c r="D68" s="93"/>
      <c r="E68" s="93"/>
      <c r="F68" s="93">
        <f>68+4.5</f>
        <v>72.5</v>
      </c>
      <c r="G68" s="93"/>
      <c r="H68" s="93"/>
      <c r="I68" s="93"/>
      <c r="J68" s="93"/>
      <c r="K68" s="93">
        <f t="shared" si="5"/>
        <v>72.5</v>
      </c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</row>
    <row r="69" spans="1:59" s="66" customFormat="1" ht="37.5" customHeight="1">
      <c r="A69" s="133"/>
      <c r="B69" s="89" t="s">
        <v>227</v>
      </c>
      <c r="C69" s="117">
        <f t="shared" si="1"/>
        <v>16301.7</v>
      </c>
      <c r="D69" s="86">
        <f aca="true" t="shared" si="7" ref="D69:J69">D70+D71+D72</f>
        <v>2021.2</v>
      </c>
      <c r="E69" s="86">
        <f t="shared" si="7"/>
        <v>155.8</v>
      </c>
      <c r="F69" s="86">
        <f t="shared" si="7"/>
        <v>14075.7</v>
      </c>
      <c r="G69" s="86">
        <f t="shared" si="7"/>
        <v>49</v>
      </c>
      <c r="H69" s="86">
        <f>H70+H71+H72</f>
        <v>10.4</v>
      </c>
      <c r="I69" s="86">
        <f t="shared" si="7"/>
        <v>0</v>
      </c>
      <c r="J69" s="86">
        <f t="shared" si="7"/>
        <v>0</v>
      </c>
      <c r="K69" s="69">
        <f>C69+H69</f>
        <v>16312.1</v>
      </c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</row>
    <row r="70" spans="1:59" ht="51.75" customHeight="1">
      <c r="A70" s="63">
        <v>130000</v>
      </c>
      <c r="B70" s="113" t="s">
        <v>192</v>
      </c>
      <c r="C70" s="92">
        <f t="shared" si="1"/>
        <v>13238.7</v>
      </c>
      <c r="D70" s="93">
        <v>1283.9</v>
      </c>
      <c r="E70" s="93">
        <v>23.4</v>
      </c>
      <c r="F70" s="93">
        <f>11222.4+600+7300+60-7300</f>
        <v>11882.400000000001</v>
      </c>
      <c r="G70" s="93">
        <v>49</v>
      </c>
      <c r="H70" s="93">
        <f>I70</f>
        <v>0</v>
      </c>
      <c r="I70" s="65"/>
      <c r="J70" s="65"/>
      <c r="K70" s="69">
        <f>C70+H70</f>
        <v>13238.7</v>
      </c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</row>
    <row r="71" spans="1:59" ht="25.5" customHeight="1">
      <c r="A71" s="122">
        <v>70601</v>
      </c>
      <c r="B71" s="113" t="s">
        <v>228</v>
      </c>
      <c r="C71" s="92">
        <f t="shared" si="1"/>
        <v>3063</v>
      </c>
      <c r="D71" s="93">
        <v>737.3</v>
      </c>
      <c r="E71" s="93">
        <f>126.4+6</f>
        <v>132.4</v>
      </c>
      <c r="F71" s="93">
        <f>2199.3-6</f>
        <v>2193.3</v>
      </c>
      <c r="G71" s="93"/>
      <c r="H71" s="93">
        <v>10.4</v>
      </c>
      <c r="I71" s="65"/>
      <c r="J71" s="65"/>
      <c r="K71" s="69">
        <f t="shared" si="5"/>
        <v>3073.4</v>
      </c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</row>
    <row r="72" spans="1:59" ht="56.25" customHeight="1" hidden="1">
      <c r="A72" s="63"/>
      <c r="B72" s="113"/>
      <c r="C72" s="92">
        <f t="shared" si="1"/>
        <v>0</v>
      </c>
      <c r="D72" s="93"/>
      <c r="E72" s="93"/>
      <c r="F72" s="93"/>
      <c r="G72" s="93"/>
      <c r="H72" s="93"/>
      <c r="I72" s="65"/>
      <c r="J72" s="65"/>
      <c r="K72" s="69">
        <f t="shared" si="5"/>
        <v>0</v>
      </c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</row>
    <row r="73" spans="1:59" s="66" customFormat="1" ht="38.25">
      <c r="A73" s="67"/>
      <c r="B73" s="68" t="s">
        <v>229</v>
      </c>
      <c r="C73" s="117">
        <f t="shared" si="1"/>
        <v>3500</v>
      </c>
      <c r="D73" s="86"/>
      <c r="E73" s="86"/>
      <c r="F73" s="86">
        <f>F74</f>
        <v>3500</v>
      </c>
      <c r="G73" s="86"/>
      <c r="H73" s="86">
        <f>H74</f>
        <v>0</v>
      </c>
      <c r="I73" s="69"/>
      <c r="J73" s="69"/>
      <c r="K73" s="69">
        <f t="shared" si="5"/>
        <v>3500</v>
      </c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</row>
    <row r="74" spans="1:59" ht="51">
      <c r="A74" s="77">
        <v>160903</v>
      </c>
      <c r="B74" s="64" t="s">
        <v>145</v>
      </c>
      <c r="C74" s="92">
        <f t="shared" si="1"/>
        <v>3500</v>
      </c>
      <c r="D74" s="93"/>
      <c r="E74" s="93"/>
      <c r="F74" s="93">
        <f>3500+5000-5000</f>
        <v>3500</v>
      </c>
      <c r="G74" s="93"/>
      <c r="H74" s="93"/>
      <c r="I74" s="65"/>
      <c r="J74" s="65"/>
      <c r="K74" s="69">
        <f t="shared" si="5"/>
        <v>3500</v>
      </c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</row>
    <row r="75" spans="1:59" s="66" customFormat="1" ht="78.75" customHeight="1">
      <c r="A75" s="67">
        <v>210000</v>
      </c>
      <c r="B75" s="71" t="s">
        <v>230</v>
      </c>
      <c r="C75" s="117">
        <f t="shared" si="1"/>
        <v>4060.6000000000004</v>
      </c>
      <c r="D75" s="86"/>
      <c r="E75" s="86"/>
      <c r="F75" s="86">
        <f>1533+200+668.3+200+630</f>
        <v>3231.3</v>
      </c>
      <c r="G75" s="86">
        <f>825+4.3</f>
        <v>829.3</v>
      </c>
      <c r="H75" s="86"/>
      <c r="I75" s="69"/>
      <c r="J75" s="69"/>
      <c r="K75" s="69">
        <f t="shared" si="5"/>
        <v>4060.6000000000004</v>
      </c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</row>
    <row r="76" spans="1:59" s="66" customFormat="1" ht="27" customHeight="1">
      <c r="A76" s="67"/>
      <c r="B76" s="71" t="s">
        <v>231</v>
      </c>
      <c r="C76" s="117">
        <f t="shared" si="1"/>
        <v>200</v>
      </c>
      <c r="D76" s="86"/>
      <c r="E76" s="86"/>
      <c r="F76" s="86">
        <f>F77</f>
        <v>200</v>
      </c>
      <c r="G76" s="86"/>
      <c r="H76" s="86"/>
      <c r="I76" s="69"/>
      <c r="J76" s="69"/>
      <c r="K76" s="69">
        <f t="shared" si="5"/>
        <v>200</v>
      </c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</row>
    <row r="77" spans="1:59" s="66" customFormat="1" ht="36.75" customHeight="1">
      <c r="A77" s="77">
        <v>180404</v>
      </c>
      <c r="B77" s="74" t="s">
        <v>154</v>
      </c>
      <c r="C77" s="92">
        <f t="shared" si="1"/>
        <v>200</v>
      </c>
      <c r="D77" s="93"/>
      <c r="E77" s="93"/>
      <c r="F77" s="93">
        <v>200</v>
      </c>
      <c r="G77" s="93"/>
      <c r="H77" s="93"/>
      <c r="I77" s="65"/>
      <c r="J77" s="65"/>
      <c r="K77" s="65">
        <f t="shared" si="5"/>
        <v>200</v>
      </c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</row>
    <row r="78" spans="1:59" s="66" customFormat="1" ht="27.75" customHeight="1">
      <c r="A78" s="67"/>
      <c r="B78" s="89" t="s">
        <v>232</v>
      </c>
      <c r="C78" s="117">
        <f t="shared" si="1"/>
        <v>98412.70000000001</v>
      </c>
      <c r="D78" s="86">
        <f>D79+D83+D84+D86+D87+D88+D89+D90+D91+D92+D93+D94+D82+D95+D97</f>
        <v>0</v>
      </c>
      <c r="E78" s="86">
        <f>E79+E83+E84+E86+E87+E88+E89+E90+E91+E92+E93+E94+E82+E95+E97</f>
        <v>0</v>
      </c>
      <c r="F78" s="86">
        <f>F79+F83+F84+F86+F87+F88+F89+F90+F91+F92+F93+F94+F82+F95+F97+F96</f>
        <v>94797.6</v>
      </c>
      <c r="G78" s="86">
        <f>G79+G83+G84+G86+G87+G88+G89+G90+G91+G92+G93+G94+G82+G95+G97</f>
        <v>3615.1</v>
      </c>
      <c r="H78" s="86">
        <f>H79+H83+H84+H86+H87+H88+H89+H90+H91+H92+H93+H94+H82+H85+H97</f>
        <v>95300.6</v>
      </c>
      <c r="I78" s="86">
        <f>I79+I83+I84+I86+I87+I88+I89+I90+I91+I92+I93+I94+I82+I85+I97</f>
        <v>39618.9</v>
      </c>
      <c r="J78" s="86">
        <f>J79+J83+J84+J86+J87+J88+J89+J90+J91+J92+J93+J94+J82+J85+J97</f>
        <v>1500.4</v>
      </c>
      <c r="K78" s="86">
        <f>K79+K83+K84+K86+K87+K88+K89+K90+K91+K92+K93+K94+K82+K85+K97+K95+K96</f>
        <v>193713.30000000002</v>
      </c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</row>
    <row r="79" spans="1:59" s="138" customFormat="1" ht="12.75" hidden="1">
      <c r="A79" s="134"/>
      <c r="B79" s="135"/>
      <c r="C79" s="117">
        <f t="shared" si="1"/>
        <v>0</v>
      </c>
      <c r="D79" s="136"/>
      <c r="E79" s="136"/>
      <c r="F79" s="136"/>
      <c r="G79" s="136"/>
      <c r="H79" s="136"/>
      <c r="I79" s="136"/>
      <c r="J79" s="136"/>
      <c r="K79" s="136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</row>
    <row r="80" spans="1:59" ht="12.75" hidden="1">
      <c r="A80" s="63"/>
      <c r="B80" s="113"/>
      <c r="C80" s="117">
        <f t="shared" si="1"/>
        <v>0</v>
      </c>
      <c r="D80" s="93"/>
      <c r="E80" s="93"/>
      <c r="F80" s="93"/>
      <c r="G80" s="93"/>
      <c r="H80" s="93"/>
      <c r="I80" s="65"/>
      <c r="J80" s="65"/>
      <c r="K80" s="65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</row>
    <row r="81" spans="1:59" ht="39" customHeight="1" hidden="1">
      <c r="A81" s="63"/>
      <c r="B81" s="74"/>
      <c r="C81" s="117">
        <f t="shared" si="1"/>
        <v>0</v>
      </c>
      <c r="D81" s="65"/>
      <c r="E81" s="65"/>
      <c r="F81" s="65"/>
      <c r="G81" s="65"/>
      <c r="H81" s="65"/>
      <c r="I81" s="65"/>
      <c r="J81" s="65"/>
      <c r="K81" s="65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</row>
    <row r="82" spans="1:59" ht="39" customHeight="1">
      <c r="A82" s="63" t="s">
        <v>86</v>
      </c>
      <c r="B82" s="70" t="s">
        <v>87</v>
      </c>
      <c r="C82" s="92">
        <f t="shared" si="1"/>
        <v>3615.1</v>
      </c>
      <c r="D82" s="65"/>
      <c r="E82" s="65"/>
      <c r="F82" s="65"/>
      <c r="G82" s="65">
        <f>3584+20+3.7+7.4</f>
        <v>3615.1</v>
      </c>
      <c r="H82" s="65"/>
      <c r="I82" s="65"/>
      <c r="J82" s="65"/>
      <c r="K82" s="65">
        <f>C82+H82</f>
        <v>3615.1</v>
      </c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</row>
    <row r="83" spans="1:59" ht="17.25" customHeight="1">
      <c r="A83" s="63">
        <v>150100</v>
      </c>
      <c r="B83" s="64" t="s">
        <v>141</v>
      </c>
      <c r="C83" s="92">
        <f t="shared" si="1"/>
        <v>0</v>
      </c>
      <c r="D83" s="93"/>
      <c r="E83" s="93"/>
      <c r="F83" s="93"/>
      <c r="G83" s="93"/>
      <c r="H83" s="93">
        <f>I83</f>
        <v>39628.9</v>
      </c>
      <c r="I83" s="65">
        <f>7890+22506.3+5482.2+1000+110+J83+740+400</f>
        <v>39628.9</v>
      </c>
      <c r="J83" s="65">
        <v>1500.4</v>
      </c>
      <c r="K83" s="65">
        <f t="shared" si="5"/>
        <v>39628.9</v>
      </c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</row>
    <row r="84" spans="1:59" ht="81" customHeight="1">
      <c r="A84" s="63">
        <v>170703</v>
      </c>
      <c r="B84" s="64" t="s">
        <v>152</v>
      </c>
      <c r="C84" s="92">
        <f t="shared" si="1"/>
        <v>0</v>
      </c>
      <c r="D84" s="93"/>
      <c r="E84" s="93"/>
      <c r="F84" s="93"/>
      <c r="G84" s="93"/>
      <c r="H84" s="93">
        <v>27817.1</v>
      </c>
      <c r="I84" s="65"/>
      <c r="J84" s="65"/>
      <c r="K84" s="65">
        <f t="shared" si="5"/>
        <v>27817.1</v>
      </c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</row>
    <row r="85" spans="1:59" ht="31.5" customHeight="1">
      <c r="A85" s="63" t="s">
        <v>233</v>
      </c>
      <c r="B85" s="64" t="s">
        <v>158</v>
      </c>
      <c r="C85" s="92"/>
      <c r="D85" s="93"/>
      <c r="E85" s="93"/>
      <c r="F85" s="93"/>
      <c r="G85" s="93"/>
      <c r="H85" s="93">
        <v>742.9</v>
      </c>
      <c r="I85" s="65"/>
      <c r="J85" s="65"/>
      <c r="K85" s="65">
        <f>C85+H85</f>
        <v>742.9</v>
      </c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</row>
    <row r="86" spans="1:59" ht="12.75">
      <c r="A86" s="91">
        <v>230000</v>
      </c>
      <c r="B86" s="74" t="s">
        <v>160</v>
      </c>
      <c r="C86" s="65">
        <f>D86+E86+F86</f>
        <v>0.1</v>
      </c>
      <c r="D86" s="65"/>
      <c r="E86" s="65"/>
      <c r="F86" s="65">
        <v>0.1</v>
      </c>
      <c r="G86" s="65"/>
      <c r="H86" s="65"/>
      <c r="I86" s="65"/>
      <c r="J86" s="65"/>
      <c r="K86" s="65">
        <f t="shared" si="5"/>
        <v>0.1</v>
      </c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</row>
    <row r="87" spans="1:59" ht="27" customHeight="1">
      <c r="A87" s="91" t="s">
        <v>234</v>
      </c>
      <c r="B87" s="74" t="s">
        <v>235</v>
      </c>
      <c r="C87" s="65"/>
      <c r="D87" s="65"/>
      <c r="E87" s="65"/>
      <c r="F87" s="65"/>
      <c r="G87" s="65"/>
      <c r="H87" s="93">
        <f>23470.6+1590</f>
        <v>25060.6</v>
      </c>
      <c r="I87" s="65"/>
      <c r="J87" s="65"/>
      <c r="K87" s="65">
        <f>C87+H87</f>
        <v>25060.6</v>
      </c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</row>
    <row r="88" spans="1:59" ht="63.75">
      <c r="A88" s="91">
        <v>240900</v>
      </c>
      <c r="B88" s="74" t="s">
        <v>166</v>
      </c>
      <c r="C88" s="92">
        <f aca="true" t="shared" si="8" ref="C88:C97">D88+E88+F88+G88</f>
        <v>0</v>
      </c>
      <c r="D88" s="65"/>
      <c r="E88" s="65"/>
      <c r="F88" s="65"/>
      <c r="G88" s="65"/>
      <c r="H88" s="65">
        <f>2061.1</f>
        <v>2061.1</v>
      </c>
      <c r="I88" s="65"/>
      <c r="J88" s="65"/>
      <c r="K88" s="65">
        <f aca="true" t="shared" si="9" ref="K88:K97">C88+H88</f>
        <v>2061.1</v>
      </c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</row>
    <row r="89" spans="1:59" ht="36" customHeight="1" hidden="1">
      <c r="A89" s="63"/>
      <c r="B89" s="113" t="s">
        <v>172</v>
      </c>
      <c r="C89" s="92">
        <f t="shared" si="8"/>
        <v>0</v>
      </c>
      <c r="D89" s="93"/>
      <c r="E89" s="93"/>
      <c r="F89" s="65">
        <f>380512.3-338534.6-9012.3-13387.8-19577.6</f>
        <v>0</v>
      </c>
      <c r="G89" s="65"/>
      <c r="H89" s="93"/>
      <c r="I89" s="65"/>
      <c r="J89" s="65"/>
      <c r="K89" s="65">
        <f t="shared" si="9"/>
        <v>0</v>
      </c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</row>
    <row r="90" spans="1:59" ht="12.75">
      <c r="A90" s="63">
        <v>250102</v>
      </c>
      <c r="B90" s="113" t="s">
        <v>167</v>
      </c>
      <c r="C90" s="92">
        <f t="shared" si="8"/>
        <v>801.7</v>
      </c>
      <c r="D90" s="93"/>
      <c r="E90" s="93"/>
      <c r="F90" s="93">
        <f>3500-2000-200-668.3+800-630</f>
        <v>801.7</v>
      </c>
      <c r="G90" s="93"/>
      <c r="H90" s="93"/>
      <c r="I90" s="65"/>
      <c r="J90" s="65"/>
      <c r="K90" s="65">
        <f t="shared" si="9"/>
        <v>801.7</v>
      </c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</row>
    <row r="91" spans="1:59" ht="38.25">
      <c r="A91" s="91" t="s">
        <v>173</v>
      </c>
      <c r="B91" s="74" t="s">
        <v>174</v>
      </c>
      <c r="C91" s="92">
        <f t="shared" si="8"/>
        <v>159.6</v>
      </c>
      <c r="D91" s="65"/>
      <c r="E91" s="65"/>
      <c r="F91" s="65">
        <f>163-3.4</f>
        <v>159.6</v>
      </c>
      <c r="G91" s="93"/>
      <c r="H91" s="93"/>
      <c r="I91" s="65"/>
      <c r="J91" s="65"/>
      <c r="K91" s="65">
        <f t="shared" si="9"/>
        <v>159.6</v>
      </c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</row>
    <row r="92" spans="1:59" ht="38.25">
      <c r="A92" s="91">
        <v>250306</v>
      </c>
      <c r="B92" s="74" t="s">
        <v>175</v>
      </c>
      <c r="C92" s="92">
        <f t="shared" si="8"/>
        <v>15512.2</v>
      </c>
      <c r="D92" s="65"/>
      <c r="E92" s="65"/>
      <c r="F92" s="65">
        <f>7890+5482.2+1000+740+400</f>
        <v>15512.2</v>
      </c>
      <c r="G92" s="65"/>
      <c r="H92" s="65"/>
      <c r="I92" s="65"/>
      <c r="J92" s="65"/>
      <c r="K92" s="65">
        <f t="shared" si="9"/>
        <v>15512.2</v>
      </c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</row>
    <row r="93" spans="1:59" ht="63.75">
      <c r="A93" s="91">
        <v>250313</v>
      </c>
      <c r="B93" s="74" t="s">
        <v>176</v>
      </c>
      <c r="C93" s="92">
        <f t="shared" si="8"/>
        <v>10279.1</v>
      </c>
      <c r="D93" s="65"/>
      <c r="E93" s="65"/>
      <c r="F93" s="65">
        <v>10279.1</v>
      </c>
      <c r="G93" s="65"/>
      <c r="H93" s="65"/>
      <c r="I93" s="65"/>
      <c r="J93" s="65"/>
      <c r="K93" s="65">
        <f t="shared" si="9"/>
        <v>10279.1</v>
      </c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</row>
    <row r="94" spans="1:59" ht="25.5">
      <c r="A94" s="91">
        <v>250301</v>
      </c>
      <c r="B94" s="113" t="s">
        <v>177</v>
      </c>
      <c r="C94" s="92">
        <f t="shared" si="8"/>
        <v>62744.8</v>
      </c>
      <c r="D94" s="65"/>
      <c r="E94" s="65"/>
      <c r="F94" s="65">
        <v>62744.8</v>
      </c>
      <c r="G94" s="65"/>
      <c r="H94" s="65"/>
      <c r="I94" s="65"/>
      <c r="J94" s="65"/>
      <c r="K94" s="65">
        <f t="shared" si="9"/>
        <v>62744.8</v>
      </c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</row>
    <row r="95" spans="1:59" ht="12.75">
      <c r="A95" s="91" t="s">
        <v>236</v>
      </c>
      <c r="B95" s="113" t="s">
        <v>193</v>
      </c>
      <c r="C95" s="92">
        <f t="shared" si="8"/>
        <v>0.1</v>
      </c>
      <c r="D95" s="65"/>
      <c r="E95" s="65"/>
      <c r="F95" s="65">
        <f>0.1</f>
        <v>0.1</v>
      </c>
      <c r="G95" s="65"/>
      <c r="H95" s="65"/>
      <c r="I95" s="65"/>
      <c r="J95" s="65"/>
      <c r="K95" s="65">
        <f t="shared" si="9"/>
        <v>0.1</v>
      </c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</row>
    <row r="96" spans="1:59" ht="12.75">
      <c r="A96" s="91" t="s">
        <v>237</v>
      </c>
      <c r="B96" s="113" t="s">
        <v>178</v>
      </c>
      <c r="C96" s="92">
        <f t="shared" si="8"/>
        <v>5300</v>
      </c>
      <c r="D96" s="65"/>
      <c r="E96" s="65"/>
      <c r="F96" s="65">
        <v>5300</v>
      </c>
      <c r="G96" s="65"/>
      <c r="H96" s="65"/>
      <c r="I96" s="65"/>
      <c r="J96" s="65"/>
      <c r="K96" s="65">
        <f t="shared" si="9"/>
        <v>5300</v>
      </c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</row>
    <row r="97" spans="1:59" ht="12.75">
      <c r="A97" s="77">
        <v>250904</v>
      </c>
      <c r="B97" s="95" t="s">
        <v>179</v>
      </c>
      <c r="C97" s="92">
        <f t="shared" si="8"/>
        <v>0</v>
      </c>
      <c r="D97" s="93"/>
      <c r="E97" s="93"/>
      <c r="F97" s="93"/>
      <c r="G97" s="93"/>
      <c r="H97" s="93">
        <v>-10</v>
      </c>
      <c r="I97" s="65">
        <v>-10</v>
      </c>
      <c r="J97" s="65"/>
      <c r="K97" s="65">
        <f t="shared" si="9"/>
        <v>-10</v>
      </c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</row>
    <row r="98" spans="1:59" s="66" customFormat="1" ht="14.25" customHeight="1">
      <c r="A98" s="67"/>
      <c r="B98" s="139" t="s">
        <v>180</v>
      </c>
      <c r="C98" s="86">
        <f aca="true" t="shared" si="10" ref="C98:K98">C15+C27+C34+C41+C51+C53+C54+C56+C65+C69+C75+C76+C78+C73</f>
        <v>522090.49999999994</v>
      </c>
      <c r="D98" s="86">
        <f t="shared" si="10"/>
        <v>125350.19999999998</v>
      </c>
      <c r="E98" s="86">
        <f t="shared" si="10"/>
        <v>30235.9</v>
      </c>
      <c r="F98" s="86">
        <f t="shared" si="10"/>
        <v>336530.6</v>
      </c>
      <c r="G98" s="86">
        <f t="shared" si="10"/>
        <v>29973.8</v>
      </c>
      <c r="H98" s="86">
        <f t="shared" si="10"/>
        <v>113142.5</v>
      </c>
      <c r="I98" s="86">
        <f t="shared" si="10"/>
        <v>40971.4</v>
      </c>
      <c r="J98" s="86">
        <f t="shared" si="10"/>
        <v>1500.4</v>
      </c>
      <c r="K98" s="86">
        <f t="shared" si="10"/>
        <v>635233</v>
      </c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114"/>
      <c r="BF98" s="114"/>
      <c r="BG98" s="114"/>
    </row>
    <row r="99" spans="1:59" s="48" customFormat="1" ht="12.75">
      <c r="A99" s="140"/>
      <c r="B99" s="141"/>
      <c r="C99" s="98"/>
      <c r="D99" s="142"/>
      <c r="E99" s="142"/>
      <c r="F99" s="142"/>
      <c r="G99" s="142"/>
      <c r="H99" s="142"/>
      <c r="I99" s="143"/>
      <c r="J99" s="143"/>
      <c r="K99" s="143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</row>
    <row r="100" spans="3:11" ht="12.75">
      <c r="C100" s="145"/>
      <c r="D100" s="145"/>
      <c r="E100" s="145"/>
      <c r="F100" s="145"/>
      <c r="G100" s="145"/>
      <c r="H100" s="145"/>
      <c r="I100" s="145"/>
      <c r="J100" s="145"/>
      <c r="K100" s="145"/>
    </row>
    <row r="101" spans="3:11" ht="12.75">
      <c r="C101" s="145"/>
      <c r="D101" s="145"/>
      <c r="E101" s="145"/>
      <c r="F101" s="145"/>
      <c r="G101" s="145"/>
      <c r="H101" s="145"/>
      <c r="I101" s="145"/>
      <c r="J101" s="145"/>
      <c r="K101" s="145"/>
    </row>
    <row r="102" ht="12.75">
      <c r="C102" s="101"/>
    </row>
    <row r="103" spans="3:11" ht="12.75">
      <c r="C103" s="145"/>
      <c r="D103" s="146"/>
      <c r="E103" s="146"/>
      <c r="F103" s="146"/>
      <c r="G103" s="146"/>
      <c r="H103" s="145"/>
      <c r="I103" s="146"/>
      <c r="K103" s="145"/>
    </row>
    <row r="104" spans="3:11" ht="12.75">
      <c r="C104" s="145"/>
      <c r="H104" s="98"/>
      <c r="K104" s="98"/>
    </row>
    <row r="105" ht="12.75">
      <c r="C105" s="101"/>
    </row>
    <row r="106" ht="12.75">
      <c r="C106" s="101"/>
    </row>
    <row r="107" ht="12.75">
      <c r="C107" s="101"/>
    </row>
    <row r="108" ht="12.75">
      <c r="C108" s="101"/>
    </row>
    <row r="109" ht="12.75">
      <c r="C109" s="101"/>
    </row>
    <row r="110" ht="12.75">
      <c r="C110" s="101"/>
    </row>
    <row r="111" ht="12.75">
      <c r="C111" s="101"/>
    </row>
    <row r="112" ht="12.75">
      <c r="C112" s="101"/>
    </row>
    <row r="113" ht="12.75">
      <c r="C113" s="101"/>
    </row>
    <row r="114" ht="12.75">
      <c r="C114" s="101"/>
    </row>
    <row r="115" ht="12.75">
      <c r="C115" s="101"/>
    </row>
    <row r="116" ht="12.75">
      <c r="C116" s="101"/>
    </row>
    <row r="117" ht="12.75">
      <c r="C117" s="101"/>
    </row>
    <row r="118" ht="12.75">
      <c r="C118" s="101"/>
    </row>
    <row r="119" ht="12.75">
      <c r="C119" s="101"/>
    </row>
    <row r="120" ht="12.75">
      <c r="C120" s="101"/>
    </row>
    <row r="121" ht="12.75">
      <c r="C121" s="101"/>
    </row>
    <row r="122" ht="12.75">
      <c r="C122" s="101"/>
    </row>
    <row r="123" ht="12.75">
      <c r="C123" s="101"/>
    </row>
    <row r="124" ht="12.75">
      <c r="C124" s="101"/>
    </row>
    <row r="125" ht="12.75">
      <c r="C125" s="101"/>
    </row>
    <row r="126" ht="12.75">
      <c r="C126" s="101"/>
    </row>
    <row r="127" ht="12.75">
      <c r="C127" s="101"/>
    </row>
    <row r="128" ht="12.75">
      <c r="C128" s="101"/>
    </row>
    <row r="129" ht="12.75">
      <c r="C129" s="101"/>
    </row>
    <row r="130" ht="12.75">
      <c r="C130" s="101"/>
    </row>
    <row r="131" ht="12.75">
      <c r="C131" s="101"/>
    </row>
    <row r="132" ht="12.75">
      <c r="C132" s="101"/>
    </row>
    <row r="133" ht="12.75">
      <c r="C133" s="101"/>
    </row>
    <row r="134" ht="12.75">
      <c r="C134" s="101"/>
    </row>
    <row r="135" ht="12.75">
      <c r="C135" s="101"/>
    </row>
    <row r="136" ht="12.75">
      <c r="C136" s="101"/>
    </row>
    <row r="137" ht="12.75">
      <c r="C137" s="101"/>
    </row>
    <row r="138" ht="12.75">
      <c r="C138" s="101"/>
    </row>
    <row r="139" ht="12.75">
      <c r="C139" s="101"/>
    </row>
    <row r="140" ht="12.75">
      <c r="C140" s="101"/>
    </row>
    <row r="141" ht="12.75">
      <c r="C141" s="101"/>
    </row>
    <row r="142" ht="12.75">
      <c r="C142" s="101"/>
    </row>
    <row r="143" ht="12.75">
      <c r="C143" s="101"/>
    </row>
    <row r="144" ht="12.75">
      <c r="C144" s="101"/>
    </row>
    <row r="145" ht="12.75">
      <c r="C145" s="101"/>
    </row>
    <row r="146" ht="12.75">
      <c r="C146" s="101"/>
    </row>
    <row r="147" ht="12.75">
      <c r="C147" s="101"/>
    </row>
    <row r="148" ht="12.75">
      <c r="C148" s="101"/>
    </row>
    <row r="149" ht="12.75">
      <c r="C149" s="101"/>
    </row>
    <row r="150" ht="12.75">
      <c r="C150" s="101"/>
    </row>
    <row r="151" ht="12.75">
      <c r="C151" s="101"/>
    </row>
    <row r="152" ht="12.75">
      <c r="C152" s="101"/>
    </row>
    <row r="153" ht="12.75">
      <c r="C153" s="101"/>
    </row>
    <row r="154" ht="12.75">
      <c r="C154" s="101"/>
    </row>
    <row r="155" ht="12.75">
      <c r="C155" s="101"/>
    </row>
    <row r="156" ht="12.75">
      <c r="C156" s="101"/>
    </row>
    <row r="157" ht="12.75">
      <c r="C157" s="101"/>
    </row>
    <row r="158" ht="12.75">
      <c r="C158" s="101"/>
    </row>
    <row r="159" ht="12.75">
      <c r="C159" s="101"/>
    </row>
    <row r="160" ht="12.75">
      <c r="C160" s="101"/>
    </row>
    <row r="161" ht="12.75">
      <c r="C161" s="101"/>
    </row>
    <row r="162" ht="12.75">
      <c r="C162" s="101"/>
    </row>
    <row r="163" ht="12.75">
      <c r="C163" s="101"/>
    </row>
    <row r="164" ht="12.75">
      <c r="C164" s="101"/>
    </row>
    <row r="165" ht="12.75">
      <c r="C165" s="101"/>
    </row>
    <row r="166" ht="12.75">
      <c r="C166" s="101"/>
    </row>
    <row r="167" ht="12.75">
      <c r="C167" s="101"/>
    </row>
    <row r="168" ht="12.75">
      <c r="C168" s="101"/>
    </row>
    <row r="169" ht="12.75">
      <c r="C169" s="101"/>
    </row>
    <row r="170" ht="12.75">
      <c r="C170" s="101"/>
    </row>
    <row r="171" ht="12.75">
      <c r="C171" s="101"/>
    </row>
    <row r="172" ht="12.75">
      <c r="C172" s="101"/>
    </row>
    <row r="173" ht="12.75">
      <c r="C173" s="101"/>
    </row>
    <row r="174" ht="12.75">
      <c r="C174" s="101"/>
    </row>
    <row r="175" ht="12.75">
      <c r="C175" s="101"/>
    </row>
    <row r="176" ht="12.75">
      <c r="C176" s="101"/>
    </row>
    <row r="177" ht="12.75">
      <c r="C177" s="101"/>
    </row>
    <row r="178" ht="12.75">
      <c r="C178" s="101"/>
    </row>
    <row r="179" ht="12.75">
      <c r="C179" s="101"/>
    </row>
    <row r="180" ht="12.75">
      <c r="C180" s="101"/>
    </row>
    <row r="181" ht="12.75">
      <c r="C181" s="101"/>
    </row>
    <row r="182" ht="12.75">
      <c r="C182" s="101"/>
    </row>
    <row r="183" ht="12.75">
      <c r="C183" s="101"/>
    </row>
    <row r="184" ht="12.75">
      <c r="C184" s="101"/>
    </row>
    <row r="185" ht="12.75">
      <c r="C185" s="101"/>
    </row>
    <row r="186" ht="12.75">
      <c r="C186" s="101"/>
    </row>
    <row r="187" ht="12.75">
      <c r="C187" s="101"/>
    </row>
    <row r="188" ht="12.75">
      <c r="C188" s="101"/>
    </row>
    <row r="189" ht="12.75">
      <c r="C189" s="101"/>
    </row>
    <row r="190" ht="12.75">
      <c r="C190" s="101"/>
    </row>
    <row r="191" ht="12.75">
      <c r="C191" s="101"/>
    </row>
    <row r="192" ht="12.75">
      <c r="C192" s="101"/>
    </row>
    <row r="193" ht="12.75">
      <c r="C193" s="101"/>
    </row>
    <row r="194" ht="12.75">
      <c r="C194" s="101"/>
    </row>
    <row r="195" ht="12.75">
      <c r="C195" s="101"/>
    </row>
    <row r="196" ht="12.75">
      <c r="C196" s="101"/>
    </row>
    <row r="197" ht="12.75">
      <c r="C197" s="101"/>
    </row>
    <row r="198" ht="12.75">
      <c r="C198" s="101"/>
    </row>
    <row r="199" ht="12.75">
      <c r="C199" s="101"/>
    </row>
    <row r="200" ht="12.75">
      <c r="C200" s="101"/>
    </row>
    <row r="201" ht="12.75">
      <c r="C201" s="101"/>
    </row>
    <row r="202" ht="12.75">
      <c r="C202" s="101"/>
    </row>
    <row r="203" ht="12.75">
      <c r="C203" s="101"/>
    </row>
    <row r="204" ht="12.75">
      <c r="C204" s="101"/>
    </row>
    <row r="205" ht="12.75">
      <c r="C205" s="101"/>
    </row>
    <row r="206" ht="12.75">
      <c r="C206" s="101"/>
    </row>
    <row r="207" ht="12.75">
      <c r="C207" s="101"/>
    </row>
    <row r="208" ht="12.75">
      <c r="C208" s="101"/>
    </row>
    <row r="209" ht="12.75">
      <c r="C209" s="101"/>
    </row>
    <row r="210" ht="12.75">
      <c r="C210" s="101"/>
    </row>
    <row r="211" ht="12.75">
      <c r="C211" s="101"/>
    </row>
    <row r="212" ht="12.75">
      <c r="C212" s="101"/>
    </row>
    <row r="213" ht="12.75">
      <c r="C213" s="101"/>
    </row>
    <row r="214" ht="12.75">
      <c r="C214" s="101"/>
    </row>
    <row r="215" ht="12.75">
      <c r="C215" s="101"/>
    </row>
    <row r="216" ht="12.75">
      <c r="C216" s="101"/>
    </row>
    <row r="217" ht="12.75">
      <c r="C217" s="101"/>
    </row>
    <row r="218" ht="12.75">
      <c r="C218" s="101"/>
    </row>
    <row r="219" ht="12.75">
      <c r="C219" s="101"/>
    </row>
    <row r="220" ht="12.75">
      <c r="C220" s="101"/>
    </row>
    <row r="221" ht="12.75">
      <c r="C221" s="101"/>
    </row>
    <row r="222" ht="12.75">
      <c r="C222" s="101"/>
    </row>
    <row r="223" ht="12.75">
      <c r="C223" s="101"/>
    </row>
    <row r="224" ht="12.75">
      <c r="C224" s="101"/>
    </row>
  </sheetData>
  <mergeCells count="15">
    <mergeCell ref="J12:J13"/>
    <mergeCell ref="F1:K1"/>
    <mergeCell ref="H4:K4"/>
    <mergeCell ref="H6:K6"/>
    <mergeCell ref="A8:K8"/>
    <mergeCell ref="A9:K9"/>
    <mergeCell ref="H10:K10"/>
    <mergeCell ref="A11:A13"/>
    <mergeCell ref="B11:B13"/>
    <mergeCell ref="C11:G11"/>
    <mergeCell ref="H11:J11"/>
    <mergeCell ref="K11:K13"/>
    <mergeCell ref="C12:C13"/>
    <mergeCell ref="D12:G12"/>
    <mergeCell ref="H12:H13"/>
  </mergeCells>
  <printOptions/>
  <pageMargins left="1.062992125984252" right="0.3937007874015748" top="0.3937007874015748" bottom="0.3937007874015748" header="0.5118110236220472" footer="0.5118110236220472"/>
  <pageSetup horizontalDpi="600" verticalDpi="600" orientation="portrait" paperSize="9" scale="68" r:id="rId1"/>
  <rowBreaks count="3" manualBreakCount="3">
    <brk id="38" max="10" man="1"/>
    <brk id="60" max="10" man="1"/>
    <brk id="9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96"/>
  <sheetViews>
    <sheetView view="pageBreakPreview" zoomScale="60" zoomScaleNormal="65" workbookViewId="0" topLeftCell="D1">
      <selection activeCell="A63" sqref="A63"/>
    </sheetView>
  </sheetViews>
  <sheetFormatPr defaultColWidth="9.00390625" defaultRowHeight="12.75"/>
  <cols>
    <col min="1" max="1" width="20.00390625" style="147" customWidth="1"/>
    <col min="2" max="2" width="12.625" style="147" customWidth="1"/>
    <col min="3" max="3" width="29.00390625" style="147" customWidth="1"/>
    <col min="4" max="4" width="19.25390625" style="147" customWidth="1"/>
    <col min="5" max="5" width="40.375" style="147" customWidth="1"/>
    <col min="6" max="6" width="12.625" style="147" customWidth="1"/>
    <col min="7" max="7" width="9.25390625" style="147" customWidth="1"/>
    <col min="8" max="8" width="8.25390625" style="147" customWidth="1"/>
    <col min="9" max="9" width="9.875" style="147" customWidth="1"/>
    <col min="10" max="10" width="20.625" style="147" customWidth="1"/>
    <col min="11" max="11" width="11.375" style="147" hidden="1" customWidth="1"/>
    <col min="12" max="12" width="18.125" style="147" hidden="1" customWidth="1"/>
    <col min="13" max="13" width="29.25390625" style="147" customWidth="1"/>
    <col min="14" max="14" width="12.00390625" style="147" customWidth="1"/>
    <col min="15" max="15" width="0" style="147" hidden="1" customWidth="1"/>
    <col min="16" max="16384" width="9.125" style="147" customWidth="1"/>
  </cols>
  <sheetData>
    <row r="1" ht="12.75">
      <c r="M1" s="147" t="s">
        <v>304</v>
      </c>
    </row>
    <row r="2" ht="12.75">
      <c r="M2" s="147" t="s">
        <v>303</v>
      </c>
    </row>
    <row r="4" spans="1:14" ht="15.75">
      <c r="A4" s="225" t="s">
        <v>302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1:14" ht="18.75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8" t="s">
        <v>301</v>
      </c>
    </row>
    <row r="6" spans="1:14" ht="12.75" customHeight="1">
      <c r="A6" s="226" t="s">
        <v>300</v>
      </c>
      <c r="B6" s="229" t="s">
        <v>299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</row>
    <row r="7" spans="1:14" s="176" customFormat="1" ht="12.75">
      <c r="A7" s="227"/>
      <c r="B7" s="230" t="s">
        <v>298</v>
      </c>
      <c r="C7" s="230" t="s">
        <v>297</v>
      </c>
      <c r="D7" s="230" t="s">
        <v>296</v>
      </c>
      <c r="E7" s="230" t="s">
        <v>295</v>
      </c>
      <c r="F7" s="233" t="s">
        <v>294</v>
      </c>
      <c r="G7" s="233"/>
      <c r="H7" s="233"/>
      <c r="I7" s="233"/>
      <c r="J7" s="233"/>
      <c r="K7" s="233"/>
      <c r="L7" s="233"/>
      <c r="M7" s="230" t="s">
        <v>293</v>
      </c>
      <c r="N7" s="234" t="s">
        <v>8</v>
      </c>
    </row>
    <row r="8" spans="1:14" s="176" customFormat="1" ht="12.75">
      <c r="A8" s="227"/>
      <c r="B8" s="231"/>
      <c r="C8" s="231"/>
      <c r="D8" s="231"/>
      <c r="E8" s="231"/>
      <c r="F8" s="230" t="s">
        <v>292</v>
      </c>
      <c r="G8" s="230" t="s">
        <v>291</v>
      </c>
      <c r="H8" s="233" t="s">
        <v>290</v>
      </c>
      <c r="I8" s="233"/>
      <c r="J8" s="230" t="s">
        <v>289</v>
      </c>
      <c r="K8" s="230" t="s">
        <v>288</v>
      </c>
      <c r="L8" s="230" t="s">
        <v>287</v>
      </c>
      <c r="M8" s="231"/>
      <c r="N8" s="235"/>
    </row>
    <row r="9" spans="1:14" s="176" customFormat="1" ht="153" customHeight="1">
      <c r="A9" s="228"/>
      <c r="B9" s="231"/>
      <c r="C9" s="231"/>
      <c r="D9" s="231"/>
      <c r="E9" s="232"/>
      <c r="F9" s="232"/>
      <c r="G9" s="232"/>
      <c r="H9" s="177" t="s">
        <v>286</v>
      </c>
      <c r="I9" s="177" t="s">
        <v>285</v>
      </c>
      <c r="J9" s="232"/>
      <c r="K9" s="232"/>
      <c r="L9" s="232"/>
      <c r="M9" s="231"/>
      <c r="N9" s="236"/>
    </row>
    <row r="10" spans="1:15" s="148" customFormat="1" ht="15">
      <c r="A10" s="175" t="s">
        <v>284</v>
      </c>
      <c r="B10" s="172">
        <v>592.8</v>
      </c>
      <c r="C10" s="171">
        <v>914.7</v>
      </c>
      <c r="D10" s="174">
        <v>180.2</v>
      </c>
      <c r="E10" s="168">
        <f aca="true" t="shared" si="0" ref="E10:E54">F10+G10+H10+I10+J10</f>
        <v>361</v>
      </c>
      <c r="F10" s="169">
        <v>247.3</v>
      </c>
      <c r="G10" s="168">
        <v>50.4</v>
      </c>
      <c r="H10" s="169"/>
      <c r="I10" s="169"/>
      <c r="J10" s="168">
        <v>63.3</v>
      </c>
      <c r="K10" s="169">
        <v>11.4</v>
      </c>
      <c r="L10" s="168">
        <v>51.9</v>
      </c>
      <c r="M10" s="167">
        <v>33.4</v>
      </c>
      <c r="N10" s="159">
        <f aca="true" t="shared" si="1" ref="N10:N55">E10+D10+C10+B10+M10</f>
        <v>2082.1</v>
      </c>
      <c r="O10" s="166">
        <f aca="true" t="shared" si="2" ref="O10:O54">E10-F10</f>
        <v>113.69999999999999</v>
      </c>
    </row>
    <row r="11" spans="1:15" s="148" customFormat="1" ht="15">
      <c r="A11" s="173" t="s">
        <v>283</v>
      </c>
      <c r="B11" s="172">
        <v>2601.1</v>
      </c>
      <c r="C11" s="171">
        <v>7134.8</v>
      </c>
      <c r="D11" s="170">
        <v>328.2</v>
      </c>
      <c r="E11" s="168">
        <f t="shared" si="0"/>
        <v>1389</v>
      </c>
      <c r="F11" s="169">
        <v>943.7</v>
      </c>
      <c r="G11" s="168">
        <v>324.8</v>
      </c>
      <c r="H11" s="169"/>
      <c r="I11" s="169"/>
      <c r="J11" s="168">
        <v>120.5</v>
      </c>
      <c r="K11" s="169">
        <v>53.9</v>
      </c>
      <c r="L11" s="168">
        <v>66.6</v>
      </c>
      <c r="M11" s="167">
        <v>121.5</v>
      </c>
      <c r="N11" s="159">
        <f t="shared" si="1"/>
        <v>11574.6</v>
      </c>
      <c r="O11" s="166">
        <f t="shared" si="2"/>
        <v>445.29999999999995</v>
      </c>
    </row>
    <row r="12" spans="1:15" s="148" customFormat="1" ht="15">
      <c r="A12" s="173" t="s">
        <v>282</v>
      </c>
      <c r="B12" s="172">
        <v>7979.2</v>
      </c>
      <c r="C12" s="171">
        <v>13889.2</v>
      </c>
      <c r="D12" s="170">
        <v>396</v>
      </c>
      <c r="E12" s="168">
        <f t="shared" si="0"/>
        <v>3569.6</v>
      </c>
      <c r="F12" s="169">
        <v>2492.1</v>
      </c>
      <c r="G12" s="168">
        <v>485.4</v>
      </c>
      <c r="H12" s="169"/>
      <c r="I12" s="169"/>
      <c r="J12" s="168">
        <v>592.1</v>
      </c>
      <c r="K12" s="169">
        <v>132.5</v>
      </c>
      <c r="L12" s="168">
        <v>459.6</v>
      </c>
      <c r="M12" s="167">
        <v>301.6</v>
      </c>
      <c r="N12" s="159">
        <f t="shared" si="1"/>
        <v>26135.6</v>
      </c>
      <c r="O12" s="166">
        <f t="shared" si="2"/>
        <v>1077.5</v>
      </c>
    </row>
    <row r="13" spans="1:15" s="148" customFormat="1" ht="15">
      <c r="A13" s="173" t="s">
        <v>281</v>
      </c>
      <c r="B13" s="172">
        <v>1429.4</v>
      </c>
      <c r="C13" s="171">
        <v>2419.7</v>
      </c>
      <c r="D13" s="170">
        <v>315.2</v>
      </c>
      <c r="E13" s="168">
        <f t="shared" si="0"/>
        <v>543.3</v>
      </c>
      <c r="F13" s="169">
        <v>50.2</v>
      </c>
      <c r="G13" s="168">
        <v>71.5</v>
      </c>
      <c r="H13" s="169"/>
      <c r="I13" s="169">
        <v>300</v>
      </c>
      <c r="J13" s="168">
        <v>121.6</v>
      </c>
      <c r="K13" s="169">
        <v>15.8</v>
      </c>
      <c r="L13" s="168">
        <v>105.8</v>
      </c>
      <c r="M13" s="167">
        <v>100.6</v>
      </c>
      <c r="N13" s="159">
        <f t="shared" si="1"/>
        <v>4808.200000000001</v>
      </c>
      <c r="O13" s="166">
        <f t="shared" si="2"/>
        <v>493.09999999999997</v>
      </c>
    </row>
    <row r="14" spans="1:15" s="148" customFormat="1" ht="15">
      <c r="A14" s="173" t="s">
        <v>280</v>
      </c>
      <c r="B14" s="172">
        <v>1448.2</v>
      </c>
      <c r="C14" s="171">
        <v>2743.4</v>
      </c>
      <c r="D14" s="170">
        <v>123.7</v>
      </c>
      <c r="E14" s="168">
        <f t="shared" si="0"/>
        <v>635.0999999999999</v>
      </c>
      <c r="F14" s="169">
        <v>435.4</v>
      </c>
      <c r="G14" s="168">
        <v>73.2</v>
      </c>
      <c r="H14" s="169"/>
      <c r="I14" s="169"/>
      <c r="J14" s="168">
        <v>126.5</v>
      </c>
      <c r="K14" s="169">
        <v>36.3</v>
      </c>
      <c r="L14" s="168">
        <v>90.2</v>
      </c>
      <c r="M14" s="167">
        <v>47.8</v>
      </c>
      <c r="N14" s="159">
        <f t="shared" si="1"/>
        <v>4998.2</v>
      </c>
      <c r="O14" s="166">
        <f t="shared" si="2"/>
        <v>199.69999999999993</v>
      </c>
    </row>
    <row r="15" spans="1:15" s="148" customFormat="1" ht="15">
      <c r="A15" s="173" t="s">
        <v>279</v>
      </c>
      <c r="B15" s="172">
        <v>1073.9</v>
      </c>
      <c r="C15" s="171">
        <v>1117.3</v>
      </c>
      <c r="D15" s="170">
        <v>100.6</v>
      </c>
      <c r="E15" s="168">
        <f t="shared" si="0"/>
        <v>146.4</v>
      </c>
      <c r="F15" s="169">
        <v>57.2</v>
      </c>
      <c r="G15" s="168">
        <v>35</v>
      </c>
      <c r="H15" s="169"/>
      <c r="I15" s="169"/>
      <c r="J15" s="168">
        <v>54.2</v>
      </c>
      <c r="K15" s="169">
        <v>14.2</v>
      </c>
      <c r="L15" s="168">
        <v>40</v>
      </c>
      <c r="M15" s="167">
        <v>61.7</v>
      </c>
      <c r="N15" s="159">
        <f t="shared" si="1"/>
        <v>2499.8999999999996</v>
      </c>
      <c r="O15" s="166">
        <f t="shared" si="2"/>
        <v>89.2</v>
      </c>
    </row>
    <row r="16" spans="1:15" s="148" customFormat="1" ht="15">
      <c r="A16" s="173" t="s">
        <v>278</v>
      </c>
      <c r="B16" s="172">
        <v>1115.6</v>
      </c>
      <c r="C16" s="171">
        <v>1122.3</v>
      </c>
      <c r="D16" s="170">
        <v>70.7</v>
      </c>
      <c r="E16" s="168">
        <f t="shared" si="0"/>
        <v>231.5</v>
      </c>
      <c r="F16" s="169">
        <v>84.7</v>
      </c>
      <c r="G16" s="168">
        <v>59.8</v>
      </c>
      <c r="H16" s="169"/>
      <c r="I16" s="169"/>
      <c r="J16" s="168">
        <v>87</v>
      </c>
      <c r="K16" s="169">
        <v>30</v>
      </c>
      <c r="L16" s="168">
        <v>57</v>
      </c>
      <c r="M16" s="167">
        <v>65.3</v>
      </c>
      <c r="N16" s="159">
        <f t="shared" si="1"/>
        <v>2605.4</v>
      </c>
      <c r="O16" s="166">
        <f t="shared" si="2"/>
        <v>146.8</v>
      </c>
    </row>
    <row r="17" spans="1:15" s="148" customFormat="1" ht="15">
      <c r="A17" s="173" t="s">
        <v>277</v>
      </c>
      <c r="B17" s="172">
        <v>635.5</v>
      </c>
      <c r="C17" s="171">
        <v>2363.7</v>
      </c>
      <c r="D17" s="170">
        <v>12.9</v>
      </c>
      <c r="E17" s="168">
        <f t="shared" si="0"/>
        <v>150.3</v>
      </c>
      <c r="F17" s="169">
        <v>25.9</v>
      </c>
      <c r="G17" s="168">
        <v>69.7</v>
      </c>
      <c r="H17" s="169"/>
      <c r="I17" s="169"/>
      <c r="J17" s="168">
        <v>54.7</v>
      </c>
      <c r="K17" s="169">
        <v>14.8</v>
      </c>
      <c r="L17" s="168">
        <v>34.4</v>
      </c>
      <c r="M17" s="167">
        <v>90.7</v>
      </c>
      <c r="N17" s="159">
        <f t="shared" si="1"/>
        <v>3253.0999999999995</v>
      </c>
      <c r="O17" s="166">
        <f t="shared" si="2"/>
        <v>124.4</v>
      </c>
    </row>
    <row r="18" spans="1:15" s="148" customFormat="1" ht="15">
      <c r="A18" s="173" t="s">
        <v>276</v>
      </c>
      <c r="B18" s="172">
        <v>15102.3</v>
      </c>
      <c r="C18" s="171">
        <v>38404.4</v>
      </c>
      <c r="D18" s="170">
        <v>777.1</v>
      </c>
      <c r="E18" s="168">
        <f t="shared" si="0"/>
        <v>14558.5</v>
      </c>
      <c r="F18" s="169">
        <v>9960.2</v>
      </c>
      <c r="G18" s="168">
        <v>2159.5</v>
      </c>
      <c r="H18" s="169">
        <v>339.8</v>
      </c>
      <c r="I18" s="169"/>
      <c r="J18" s="168">
        <v>2099</v>
      </c>
      <c r="K18" s="169">
        <v>303.5</v>
      </c>
      <c r="L18" s="168">
        <v>1834.8</v>
      </c>
      <c r="M18" s="167">
        <v>1730.4</v>
      </c>
      <c r="N18" s="159">
        <f t="shared" si="1"/>
        <v>70572.7</v>
      </c>
      <c r="O18" s="166">
        <f t="shared" si="2"/>
        <v>4598.299999999999</v>
      </c>
    </row>
    <row r="19" spans="1:15" s="148" customFormat="1" ht="15">
      <c r="A19" s="173" t="s">
        <v>275</v>
      </c>
      <c r="B19" s="172">
        <v>2125.1</v>
      </c>
      <c r="C19" s="171">
        <v>4626.2</v>
      </c>
      <c r="D19" s="170">
        <v>136.6</v>
      </c>
      <c r="E19" s="168">
        <f t="shared" si="0"/>
        <v>835.9000000000001</v>
      </c>
      <c r="F19" s="169">
        <v>471.8</v>
      </c>
      <c r="G19" s="168">
        <v>115.9</v>
      </c>
      <c r="H19" s="169"/>
      <c r="I19" s="169"/>
      <c r="J19" s="168">
        <v>248.2</v>
      </c>
      <c r="K19" s="169">
        <v>35.5</v>
      </c>
      <c r="L19" s="168">
        <v>212.7</v>
      </c>
      <c r="M19" s="167">
        <v>117</v>
      </c>
      <c r="N19" s="159">
        <f t="shared" si="1"/>
        <v>7840.799999999999</v>
      </c>
      <c r="O19" s="166">
        <f t="shared" si="2"/>
        <v>364.1000000000001</v>
      </c>
    </row>
    <row r="20" spans="1:15" s="148" customFormat="1" ht="15">
      <c r="A20" s="173" t="s">
        <v>274</v>
      </c>
      <c r="B20" s="172">
        <v>2651.8</v>
      </c>
      <c r="C20" s="171">
        <v>6404.8</v>
      </c>
      <c r="D20" s="170">
        <v>268.1</v>
      </c>
      <c r="E20" s="168">
        <f t="shared" si="0"/>
        <v>1643.8000000000002</v>
      </c>
      <c r="F20" s="169">
        <v>1211.4</v>
      </c>
      <c r="G20" s="168">
        <v>255.5</v>
      </c>
      <c r="H20" s="169"/>
      <c r="I20" s="169"/>
      <c r="J20" s="168">
        <v>176.9</v>
      </c>
      <c r="K20" s="169">
        <v>47.5</v>
      </c>
      <c r="L20" s="168">
        <v>129.4</v>
      </c>
      <c r="M20" s="167">
        <v>87.9</v>
      </c>
      <c r="N20" s="159">
        <f t="shared" si="1"/>
        <v>11056.4</v>
      </c>
      <c r="O20" s="166">
        <f t="shared" si="2"/>
        <v>432.4000000000001</v>
      </c>
    </row>
    <row r="21" spans="1:15" s="148" customFormat="1" ht="15">
      <c r="A21" s="173" t="s">
        <v>273</v>
      </c>
      <c r="B21" s="172">
        <v>281.2</v>
      </c>
      <c r="C21" s="171">
        <v>375.1</v>
      </c>
      <c r="D21" s="170">
        <v>6.2</v>
      </c>
      <c r="E21" s="168">
        <f t="shared" si="0"/>
        <v>72.9</v>
      </c>
      <c r="F21" s="169">
        <v>16.6</v>
      </c>
      <c r="G21" s="168">
        <v>9.8</v>
      </c>
      <c r="H21" s="169"/>
      <c r="I21" s="169"/>
      <c r="J21" s="168">
        <v>46.5</v>
      </c>
      <c r="K21" s="169">
        <v>2.9</v>
      </c>
      <c r="L21" s="168">
        <v>43.6</v>
      </c>
      <c r="M21" s="167">
        <v>11.2</v>
      </c>
      <c r="N21" s="159">
        <f t="shared" si="1"/>
        <v>746.6000000000001</v>
      </c>
      <c r="O21" s="166">
        <f t="shared" si="2"/>
        <v>56.300000000000004</v>
      </c>
    </row>
    <row r="22" spans="1:15" s="148" customFormat="1" ht="15">
      <c r="A22" s="173" t="s">
        <v>272</v>
      </c>
      <c r="B22" s="172">
        <v>348</v>
      </c>
      <c r="C22" s="171">
        <v>509</v>
      </c>
      <c r="D22" s="170">
        <v>11.4</v>
      </c>
      <c r="E22" s="168">
        <f t="shared" si="0"/>
        <v>96.69999999999999</v>
      </c>
      <c r="F22" s="169">
        <v>25.5</v>
      </c>
      <c r="G22" s="168">
        <v>25.9</v>
      </c>
      <c r="H22" s="169"/>
      <c r="I22" s="169"/>
      <c r="J22" s="168">
        <v>45.3</v>
      </c>
      <c r="K22" s="169">
        <v>4</v>
      </c>
      <c r="L22" s="168">
        <v>41.3</v>
      </c>
      <c r="M22" s="167">
        <v>21.6</v>
      </c>
      <c r="N22" s="159">
        <f t="shared" si="1"/>
        <v>986.7</v>
      </c>
      <c r="O22" s="166">
        <f t="shared" si="2"/>
        <v>71.19999999999999</v>
      </c>
    </row>
    <row r="23" spans="1:15" s="148" customFormat="1" ht="15">
      <c r="A23" s="173" t="s">
        <v>271</v>
      </c>
      <c r="B23" s="172">
        <v>2934.1</v>
      </c>
      <c r="C23" s="171">
        <v>6726.1</v>
      </c>
      <c r="D23" s="170">
        <v>56.5</v>
      </c>
      <c r="E23" s="168">
        <f t="shared" si="0"/>
        <v>1165.4</v>
      </c>
      <c r="F23" s="169">
        <v>888.5</v>
      </c>
      <c r="G23" s="168">
        <v>119.9</v>
      </c>
      <c r="H23" s="169"/>
      <c r="I23" s="169"/>
      <c r="J23" s="168">
        <v>157</v>
      </c>
      <c r="K23" s="169">
        <v>46.5</v>
      </c>
      <c r="L23" s="168">
        <v>110.5</v>
      </c>
      <c r="M23" s="167">
        <v>104.8</v>
      </c>
      <c r="N23" s="159">
        <f t="shared" si="1"/>
        <v>10986.9</v>
      </c>
      <c r="O23" s="166">
        <f t="shared" si="2"/>
        <v>276.9000000000001</v>
      </c>
    </row>
    <row r="24" spans="1:15" s="148" customFormat="1" ht="15">
      <c r="A24" s="173" t="s">
        <v>270</v>
      </c>
      <c r="B24" s="172">
        <v>6059.3</v>
      </c>
      <c r="C24" s="171">
        <v>12304.1</v>
      </c>
      <c r="D24" s="170">
        <v>293.1</v>
      </c>
      <c r="E24" s="168">
        <f t="shared" si="0"/>
        <v>2517.5</v>
      </c>
      <c r="F24" s="169">
        <v>1374.8</v>
      </c>
      <c r="G24" s="168">
        <v>560.7</v>
      </c>
      <c r="H24" s="169"/>
      <c r="I24" s="169"/>
      <c r="J24" s="168">
        <v>582</v>
      </c>
      <c r="K24" s="169">
        <v>83.9</v>
      </c>
      <c r="L24" s="168">
        <v>498.1</v>
      </c>
      <c r="M24" s="167">
        <v>202.2</v>
      </c>
      <c r="N24" s="159">
        <f t="shared" si="1"/>
        <v>21376.2</v>
      </c>
      <c r="O24" s="166">
        <f t="shared" si="2"/>
        <v>1142.7</v>
      </c>
    </row>
    <row r="25" spans="1:15" s="148" customFormat="1" ht="15">
      <c r="A25" s="173" t="s">
        <v>269</v>
      </c>
      <c r="B25" s="172">
        <v>1213.1</v>
      </c>
      <c r="C25" s="171">
        <v>2256.5</v>
      </c>
      <c r="D25" s="170">
        <v>195.9</v>
      </c>
      <c r="E25" s="168">
        <f t="shared" si="0"/>
        <v>295.1</v>
      </c>
      <c r="F25" s="168">
        <v>79</v>
      </c>
      <c r="G25" s="168">
        <v>90.1</v>
      </c>
      <c r="H25" s="168"/>
      <c r="I25" s="168"/>
      <c r="J25" s="168">
        <v>126</v>
      </c>
      <c r="K25" s="169">
        <v>27.8</v>
      </c>
      <c r="L25" s="168">
        <v>98.2</v>
      </c>
      <c r="M25" s="167">
        <v>60.2</v>
      </c>
      <c r="N25" s="159">
        <f t="shared" si="1"/>
        <v>4020.7999999999997</v>
      </c>
      <c r="O25" s="166">
        <f t="shared" si="2"/>
        <v>216.10000000000002</v>
      </c>
    </row>
    <row r="26" spans="1:15" s="148" customFormat="1" ht="15">
      <c r="A26" s="173" t="s">
        <v>268</v>
      </c>
      <c r="B26" s="172">
        <v>1811.9</v>
      </c>
      <c r="C26" s="171">
        <v>1223.1</v>
      </c>
      <c r="D26" s="170">
        <v>1065.1</v>
      </c>
      <c r="E26" s="168">
        <f t="shared" si="0"/>
        <v>1149.7</v>
      </c>
      <c r="F26" s="169">
        <v>60.5</v>
      </c>
      <c r="G26" s="168">
        <v>72</v>
      </c>
      <c r="H26" s="169"/>
      <c r="I26" s="169">
        <v>860</v>
      </c>
      <c r="J26" s="168">
        <v>157.2</v>
      </c>
      <c r="K26" s="169">
        <v>34.9</v>
      </c>
      <c r="L26" s="168">
        <v>122.3</v>
      </c>
      <c r="M26" s="167">
        <v>43.3</v>
      </c>
      <c r="N26" s="159">
        <f t="shared" si="1"/>
        <v>5293.1</v>
      </c>
      <c r="O26" s="166">
        <f t="shared" si="2"/>
        <v>1089.2</v>
      </c>
    </row>
    <row r="27" spans="1:15" s="148" customFormat="1" ht="15">
      <c r="A27" s="173" t="s">
        <v>267</v>
      </c>
      <c r="B27" s="172">
        <v>7920.8</v>
      </c>
      <c r="C27" s="171">
        <v>14813.6</v>
      </c>
      <c r="D27" s="170">
        <v>410.9</v>
      </c>
      <c r="E27" s="168">
        <f t="shared" si="0"/>
        <v>2837.1</v>
      </c>
      <c r="F27" s="169">
        <v>1583.6</v>
      </c>
      <c r="G27" s="168">
        <v>314.3</v>
      </c>
      <c r="H27" s="169"/>
      <c r="I27" s="169"/>
      <c r="J27" s="168">
        <v>939.2</v>
      </c>
      <c r="K27" s="169">
        <v>122.6</v>
      </c>
      <c r="L27" s="168">
        <v>816.6</v>
      </c>
      <c r="M27" s="167">
        <v>239.8</v>
      </c>
      <c r="N27" s="159">
        <f t="shared" si="1"/>
        <v>26222.199999999997</v>
      </c>
      <c r="O27" s="166">
        <f t="shared" si="2"/>
        <v>1253.5</v>
      </c>
    </row>
    <row r="28" spans="1:15" s="148" customFormat="1" ht="15">
      <c r="A28" s="173" t="s">
        <v>266</v>
      </c>
      <c r="B28" s="172">
        <v>6467.2</v>
      </c>
      <c r="C28" s="171">
        <v>18080.7</v>
      </c>
      <c r="D28" s="170">
        <v>227.9</v>
      </c>
      <c r="E28" s="168">
        <f t="shared" si="0"/>
        <v>5314.4</v>
      </c>
      <c r="F28" s="169">
        <v>3276.6</v>
      </c>
      <c r="G28" s="168">
        <v>983.4</v>
      </c>
      <c r="H28" s="169"/>
      <c r="I28" s="169"/>
      <c r="J28" s="168">
        <v>1054.4</v>
      </c>
      <c r="K28" s="169">
        <v>181.4</v>
      </c>
      <c r="L28" s="168">
        <v>873</v>
      </c>
      <c r="M28" s="167">
        <v>395.8</v>
      </c>
      <c r="N28" s="159">
        <f t="shared" si="1"/>
        <v>30486</v>
      </c>
      <c r="O28" s="166">
        <f t="shared" si="2"/>
        <v>2037.7999999999997</v>
      </c>
    </row>
    <row r="29" spans="1:15" s="148" customFormat="1" ht="15">
      <c r="A29" s="173" t="s">
        <v>265</v>
      </c>
      <c r="B29" s="172">
        <v>274.6</v>
      </c>
      <c r="C29" s="171">
        <v>232.2</v>
      </c>
      <c r="D29" s="170">
        <v>17.5</v>
      </c>
      <c r="E29" s="168">
        <f t="shared" si="0"/>
        <v>60.7</v>
      </c>
      <c r="F29" s="169">
        <v>23.3</v>
      </c>
      <c r="G29" s="168">
        <v>11.7</v>
      </c>
      <c r="H29" s="169"/>
      <c r="I29" s="169"/>
      <c r="J29" s="168">
        <v>25.7</v>
      </c>
      <c r="K29" s="169">
        <v>3.6</v>
      </c>
      <c r="L29" s="168">
        <v>22.1</v>
      </c>
      <c r="M29" s="167">
        <v>8.9</v>
      </c>
      <c r="N29" s="159">
        <f t="shared" si="1"/>
        <v>593.9</v>
      </c>
      <c r="O29" s="166">
        <f t="shared" si="2"/>
        <v>37.400000000000006</v>
      </c>
    </row>
    <row r="30" spans="1:15" s="148" customFormat="1" ht="15">
      <c r="A30" s="173" t="s">
        <v>264</v>
      </c>
      <c r="B30" s="172">
        <v>983.8</v>
      </c>
      <c r="C30" s="171">
        <v>635.5</v>
      </c>
      <c r="D30" s="170">
        <v>169</v>
      </c>
      <c r="E30" s="168">
        <f t="shared" si="0"/>
        <v>288</v>
      </c>
      <c r="F30" s="169">
        <v>66.6</v>
      </c>
      <c r="G30" s="168">
        <v>84.8</v>
      </c>
      <c r="H30" s="169"/>
      <c r="I30" s="169"/>
      <c r="J30" s="168">
        <v>136.6</v>
      </c>
      <c r="K30" s="169">
        <v>21.3</v>
      </c>
      <c r="L30" s="168">
        <v>115.3</v>
      </c>
      <c r="M30" s="167">
        <v>28.7</v>
      </c>
      <c r="N30" s="159">
        <f t="shared" si="1"/>
        <v>2105</v>
      </c>
      <c r="O30" s="166">
        <f t="shared" si="2"/>
        <v>221.4</v>
      </c>
    </row>
    <row r="31" spans="1:15" s="148" customFormat="1" ht="15">
      <c r="A31" s="173" t="s">
        <v>263</v>
      </c>
      <c r="B31" s="172">
        <v>3667.6</v>
      </c>
      <c r="C31" s="171">
        <v>8938.8</v>
      </c>
      <c r="D31" s="170">
        <v>280.3</v>
      </c>
      <c r="E31" s="168">
        <f t="shared" si="0"/>
        <v>1456.6</v>
      </c>
      <c r="F31" s="169">
        <v>977.8</v>
      </c>
      <c r="G31" s="168">
        <v>253.2</v>
      </c>
      <c r="H31" s="169"/>
      <c r="I31" s="169"/>
      <c r="J31" s="168">
        <v>225.6</v>
      </c>
      <c r="K31" s="169">
        <v>70.7</v>
      </c>
      <c r="L31" s="168">
        <v>139.5</v>
      </c>
      <c r="M31" s="167">
        <v>177.8</v>
      </c>
      <c r="N31" s="159">
        <f t="shared" si="1"/>
        <v>14521.099999999999</v>
      </c>
      <c r="O31" s="166">
        <f t="shared" si="2"/>
        <v>478.79999999999995</v>
      </c>
    </row>
    <row r="32" spans="1:15" s="148" customFormat="1" ht="15">
      <c r="A32" s="173" t="s">
        <v>262</v>
      </c>
      <c r="B32" s="172">
        <v>1767.8</v>
      </c>
      <c r="C32" s="171">
        <v>1103.3</v>
      </c>
      <c r="D32" s="170">
        <v>260.4</v>
      </c>
      <c r="E32" s="168">
        <f t="shared" si="0"/>
        <v>258.4</v>
      </c>
      <c r="F32" s="169">
        <v>80.4</v>
      </c>
      <c r="G32" s="168">
        <v>75.8</v>
      </c>
      <c r="H32" s="169"/>
      <c r="I32" s="169"/>
      <c r="J32" s="168">
        <v>102.2</v>
      </c>
      <c r="K32" s="169">
        <v>30.6</v>
      </c>
      <c r="L32" s="168">
        <v>71.6</v>
      </c>
      <c r="M32" s="167">
        <v>35.6</v>
      </c>
      <c r="N32" s="159">
        <f t="shared" si="1"/>
        <v>3425.4999999999995</v>
      </c>
      <c r="O32" s="166">
        <f t="shared" si="2"/>
        <v>177.99999999999997</v>
      </c>
    </row>
    <row r="33" spans="1:15" s="148" customFormat="1" ht="15">
      <c r="A33" s="173" t="s">
        <v>261</v>
      </c>
      <c r="B33" s="172">
        <v>2033.7</v>
      </c>
      <c r="C33" s="171">
        <v>1147.5</v>
      </c>
      <c r="D33" s="170">
        <v>295.4</v>
      </c>
      <c r="E33" s="168">
        <f t="shared" si="0"/>
        <v>379.9</v>
      </c>
      <c r="F33" s="169">
        <v>93.9</v>
      </c>
      <c r="G33" s="168">
        <v>97.8</v>
      </c>
      <c r="H33" s="169"/>
      <c r="I33" s="169"/>
      <c r="J33" s="168">
        <v>188.2</v>
      </c>
      <c r="K33" s="169">
        <v>34.8</v>
      </c>
      <c r="L33" s="168">
        <v>153.4</v>
      </c>
      <c r="M33" s="167">
        <v>53.6</v>
      </c>
      <c r="N33" s="159">
        <f t="shared" si="1"/>
        <v>3910.1</v>
      </c>
      <c r="O33" s="166">
        <f t="shared" si="2"/>
        <v>286</v>
      </c>
    </row>
    <row r="34" spans="1:15" s="148" customFormat="1" ht="15">
      <c r="A34" s="173" t="s">
        <v>260</v>
      </c>
      <c r="B34" s="172">
        <v>357.2</v>
      </c>
      <c r="C34" s="171">
        <v>991.4</v>
      </c>
      <c r="D34" s="170">
        <v>0</v>
      </c>
      <c r="E34" s="168">
        <f t="shared" si="0"/>
        <v>51.1</v>
      </c>
      <c r="F34" s="169">
        <v>15.3</v>
      </c>
      <c r="G34" s="168">
        <v>7.7</v>
      </c>
      <c r="H34" s="169"/>
      <c r="I34" s="169"/>
      <c r="J34" s="168">
        <v>28.1</v>
      </c>
      <c r="K34" s="169">
        <v>3.4</v>
      </c>
      <c r="L34" s="168">
        <v>24.7</v>
      </c>
      <c r="M34" s="167">
        <v>12.4</v>
      </c>
      <c r="N34" s="159">
        <f t="shared" si="1"/>
        <v>1412.1000000000001</v>
      </c>
      <c r="O34" s="166">
        <f t="shared" si="2"/>
        <v>35.8</v>
      </c>
    </row>
    <row r="35" spans="1:15" s="148" customFormat="1" ht="15">
      <c r="A35" s="173" t="s">
        <v>259</v>
      </c>
      <c r="B35" s="172">
        <v>2415.8</v>
      </c>
      <c r="C35" s="171">
        <v>8447.6</v>
      </c>
      <c r="D35" s="170">
        <v>385.8</v>
      </c>
      <c r="E35" s="168">
        <f t="shared" si="0"/>
        <v>1081.8</v>
      </c>
      <c r="F35" s="169">
        <v>736.8</v>
      </c>
      <c r="G35" s="168">
        <v>131.1</v>
      </c>
      <c r="H35" s="169"/>
      <c r="I35" s="169"/>
      <c r="J35" s="168">
        <v>213.9</v>
      </c>
      <c r="K35" s="169">
        <v>34.5</v>
      </c>
      <c r="L35" s="168">
        <v>179.4</v>
      </c>
      <c r="M35" s="167">
        <v>93.1</v>
      </c>
      <c r="N35" s="159">
        <f t="shared" si="1"/>
        <v>12424.1</v>
      </c>
      <c r="O35" s="166">
        <f t="shared" si="2"/>
        <v>345</v>
      </c>
    </row>
    <row r="36" spans="1:15" s="148" customFormat="1" ht="15">
      <c r="A36" s="173" t="s">
        <v>258</v>
      </c>
      <c r="B36" s="172">
        <v>1755.2</v>
      </c>
      <c r="C36" s="171">
        <v>1324.8</v>
      </c>
      <c r="D36" s="170">
        <v>179.1</v>
      </c>
      <c r="E36" s="168">
        <f t="shared" si="0"/>
        <v>291.5</v>
      </c>
      <c r="F36" s="169">
        <v>74.1</v>
      </c>
      <c r="G36" s="168">
        <v>56.5</v>
      </c>
      <c r="H36" s="169"/>
      <c r="I36" s="169"/>
      <c r="J36" s="168">
        <v>160.9</v>
      </c>
      <c r="K36" s="169">
        <v>18.6</v>
      </c>
      <c r="L36" s="168">
        <v>142.3</v>
      </c>
      <c r="M36" s="167">
        <v>74.7</v>
      </c>
      <c r="N36" s="159">
        <f t="shared" si="1"/>
        <v>3625.3</v>
      </c>
      <c r="O36" s="166">
        <f t="shared" si="2"/>
        <v>217.4</v>
      </c>
    </row>
    <row r="37" spans="1:15" s="148" customFormat="1" ht="15">
      <c r="A37" s="173" t="s">
        <v>257</v>
      </c>
      <c r="B37" s="172">
        <v>520.7</v>
      </c>
      <c r="C37" s="171">
        <v>1320.3</v>
      </c>
      <c r="D37" s="170">
        <v>225</v>
      </c>
      <c r="E37" s="168">
        <f t="shared" si="0"/>
        <v>2049.1</v>
      </c>
      <c r="F37" s="169">
        <v>38.5</v>
      </c>
      <c r="G37" s="168">
        <v>125.8</v>
      </c>
      <c r="H37" s="169"/>
      <c r="I37" s="169">
        <v>1844</v>
      </c>
      <c r="J37" s="168">
        <v>40.8</v>
      </c>
      <c r="K37" s="169">
        <v>15.5</v>
      </c>
      <c r="L37" s="168">
        <v>25.3</v>
      </c>
      <c r="M37" s="167">
        <v>84</v>
      </c>
      <c r="N37" s="159">
        <f t="shared" si="1"/>
        <v>4199.099999999999</v>
      </c>
      <c r="O37" s="166">
        <f t="shared" si="2"/>
        <v>2010.6</v>
      </c>
    </row>
    <row r="38" spans="1:15" s="148" customFormat="1" ht="15">
      <c r="A38" s="173" t="s">
        <v>256</v>
      </c>
      <c r="B38" s="172">
        <v>853.5</v>
      </c>
      <c r="C38" s="171">
        <v>412.6</v>
      </c>
      <c r="D38" s="170">
        <v>353.8</v>
      </c>
      <c r="E38" s="168">
        <f t="shared" si="0"/>
        <v>57.8</v>
      </c>
      <c r="F38" s="169">
        <v>17.4</v>
      </c>
      <c r="G38" s="168">
        <v>18</v>
      </c>
      <c r="H38" s="169"/>
      <c r="I38" s="169"/>
      <c r="J38" s="168">
        <v>22.4</v>
      </c>
      <c r="K38" s="169">
        <v>8.6</v>
      </c>
      <c r="L38" s="168">
        <v>13.8</v>
      </c>
      <c r="M38" s="167">
        <v>18.5</v>
      </c>
      <c r="N38" s="159">
        <f t="shared" si="1"/>
        <v>1696.2</v>
      </c>
      <c r="O38" s="166">
        <f t="shared" si="2"/>
        <v>40.4</v>
      </c>
    </row>
    <row r="39" spans="1:15" s="148" customFormat="1" ht="15">
      <c r="A39" s="173" t="s">
        <v>255</v>
      </c>
      <c r="B39" s="172">
        <v>2109.8</v>
      </c>
      <c r="C39" s="171">
        <v>2925.4</v>
      </c>
      <c r="D39" s="170">
        <v>500.4</v>
      </c>
      <c r="E39" s="168">
        <f t="shared" si="0"/>
        <v>171.4</v>
      </c>
      <c r="F39" s="169">
        <v>39.9</v>
      </c>
      <c r="G39" s="168">
        <v>89.1</v>
      </c>
      <c r="H39" s="169"/>
      <c r="I39" s="169"/>
      <c r="J39" s="168">
        <v>42.4</v>
      </c>
      <c r="K39" s="169">
        <v>24.4</v>
      </c>
      <c r="L39" s="168">
        <v>18</v>
      </c>
      <c r="M39" s="167">
        <v>67.2</v>
      </c>
      <c r="N39" s="159">
        <f t="shared" si="1"/>
        <v>5774.2</v>
      </c>
      <c r="O39" s="166">
        <f t="shared" si="2"/>
        <v>131.5</v>
      </c>
    </row>
    <row r="40" spans="1:15" s="148" customFormat="1" ht="15">
      <c r="A40" s="173" t="s">
        <v>254</v>
      </c>
      <c r="B40" s="172">
        <v>1318.4</v>
      </c>
      <c r="C40" s="171">
        <v>2326.1</v>
      </c>
      <c r="D40" s="170">
        <v>456.9</v>
      </c>
      <c r="E40" s="168">
        <f t="shared" si="0"/>
        <v>167.6</v>
      </c>
      <c r="F40" s="169">
        <v>44.2</v>
      </c>
      <c r="G40" s="168">
        <v>58.8</v>
      </c>
      <c r="H40" s="169"/>
      <c r="I40" s="169"/>
      <c r="J40" s="168">
        <v>64.6</v>
      </c>
      <c r="K40" s="169">
        <v>22.6</v>
      </c>
      <c r="L40" s="168">
        <v>42</v>
      </c>
      <c r="M40" s="167">
        <v>24.1</v>
      </c>
      <c r="N40" s="159">
        <f t="shared" si="1"/>
        <v>4293.1</v>
      </c>
      <c r="O40" s="166">
        <f t="shared" si="2"/>
        <v>123.39999999999999</v>
      </c>
    </row>
    <row r="41" spans="1:15" s="148" customFormat="1" ht="15">
      <c r="A41" s="173" t="s">
        <v>253</v>
      </c>
      <c r="B41" s="172">
        <v>1954.3</v>
      </c>
      <c r="C41" s="171">
        <v>508.2</v>
      </c>
      <c r="D41" s="170">
        <v>932.8</v>
      </c>
      <c r="E41" s="168">
        <f t="shared" si="0"/>
        <v>170.9</v>
      </c>
      <c r="F41" s="169">
        <v>40</v>
      </c>
      <c r="G41" s="168">
        <v>72.8</v>
      </c>
      <c r="H41" s="169"/>
      <c r="I41" s="169"/>
      <c r="J41" s="168">
        <v>58.1</v>
      </c>
      <c r="K41" s="169">
        <v>23.4</v>
      </c>
      <c r="L41" s="168">
        <v>34.7</v>
      </c>
      <c r="M41" s="167">
        <v>50.5</v>
      </c>
      <c r="N41" s="159">
        <f t="shared" si="1"/>
        <v>3616.7</v>
      </c>
      <c r="O41" s="166">
        <f t="shared" si="2"/>
        <v>130.9</v>
      </c>
    </row>
    <row r="42" spans="1:15" s="148" customFormat="1" ht="15">
      <c r="A42" s="173" t="s">
        <v>252</v>
      </c>
      <c r="B42" s="172">
        <v>2062.4</v>
      </c>
      <c r="C42" s="171">
        <v>3091.2</v>
      </c>
      <c r="D42" s="170">
        <v>1012.9</v>
      </c>
      <c r="E42" s="168">
        <f t="shared" si="0"/>
        <v>274.29999999999995</v>
      </c>
      <c r="F42" s="169">
        <v>71.6</v>
      </c>
      <c r="G42" s="168">
        <v>56.5</v>
      </c>
      <c r="H42" s="169"/>
      <c r="I42" s="169"/>
      <c r="J42" s="168">
        <v>146.2</v>
      </c>
      <c r="K42" s="169">
        <v>43.8</v>
      </c>
      <c r="L42" s="168">
        <v>102.4</v>
      </c>
      <c r="M42" s="167">
        <v>77.7</v>
      </c>
      <c r="N42" s="159">
        <f t="shared" si="1"/>
        <v>6518.499999999999</v>
      </c>
      <c r="O42" s="166">
        <f t="shared" si="2"/>
        <v>202.69999999999996</v>
      </c>
    </row>
    <row r="43" spans="1:15" s="148" customFormat="1" ht="15">
      <c r="A43" s="173" t="s">
        <v>251</v>
      </c>
      <c r="B43" s="172">
        <v>866.7</v>
      </c>
      <c r="C43" s="171">
        <v>1210.2</v>
      </c>
      <c r="D43" s="170">
        <v>214.9</v>
      </c>
      <c r="E43" s="168">
        <f t="shared" si="0"/>
        <v>83.9</v>
      </c>
      <c r="F43" s="169">
        <v>24.4</v>
      </c>
      <c r="G43" s="168">
        <v>29.8</v>
      </c>
      <c r="H43" s="169"/>
      <c r="I43" s="169"/>
      <c r="J43" s="168">
        <v>29.7</v>
      </c>
      <c r="K43" s="169">
        <v>12.5</v>
      </c>
      <c r="L43" s="168">
        <v>17.2</v>
      </c>
      <c r="M43" s="167">
        <v>60.3</v>
      </c>
      <c r="N43" s="159">
        <f t="shared" si="1"/>
        <v>2436</v>
      </c>
      <c r="O43" s="166">
        <f t="shared" si="2"/>
        <v>59.50000000000001</v>
      </c>
    </row>
    <row r="44" spans="1:15" s="148" customFormat="1" ht="15">
      <c r="A44" s="173" t="s">
        <v>250</v>
      </c>
      <c r="B44" s="172">
        <v>472.8</v>
      </c>
      <c r="C44" s="171">
        <v>120.2</v>
      </c>
      <c r="D44" s="170">
        <v>362.5</v>
      </c>
      <c r="E44" s="168">
        <f t="shared" si="0"/>
        <v>52.099999999999994</v>
      </c>
      <c r="F44" s="169">
        <v>18.2</v>
      </c>
      <c r="G44" s="168">
        <v>11</v>
      </c>
      <c r="H44" s="169"/>
      <c r="I44" s="169"/>
      <c r="J44" s="168">
        <v>22.9</v>
      </c>
      <c r="K44" s="169">
        <v>21.4</v>
      </c>
      <c r="L44" s="168">
        <v>1.5</v>
      </c>
      <c r="M44" s="167">
        <v>8.7</v>
      </c>
      <c r="N44" s="159">
        <f t="shared" si="1"/>
        <v>1016.3000000000002</v>
      </c>
      <c r="O44" s="166">
        <f t="shared" si="2"/>
        <v>33.89999999999999</v>
      </c>
    </row>
    <row r="45" spans="1:15" s="148" customFormat="1" ht="15">
      <c r="A45" s="173" t="s">
        <v>249</v>
      </c>
      <c r="B45" s="172">
        <v>882.5</v>
      </c>
      <c r="C45" s="171">
        <v>1187.4</v>
      </c>
      <c r="D45" s="170">
        <v>172.9</v>
      </c>
      <c r="E45" s="168">
        <f t="shared" si="0"/>
        <v>54.900000000000006</v>
      </c>
      <c r="F45" s="169">
        <v>17.6</v>
      </c>
      <c r="G45" s="168">
        <v>4.6</v>
      </c>
      <c r="H45" s="169"/>
      <c r="I45" s="169"/>
      <c r="J45" s="168">
        <v>32.7</v>
      </c>
      <c r="K45" s="169">
        <v>9.8</v>
      </c>
      <c r="L45" s="168">
        <v>22.9</v>
      </c>
      <c r="M45" s="167">
        <v>11</v>
      </c>
      <c r="N45" s="159">
        <f t="shared" si="1"/>
        <v>2308.7</v>
      </c>
      <c r="O45" s="166">
        <f t="shared" si="2"/>
        <v>37.300000000000004</v>
      </c>
    </row>
    <row r="46" spans="1:15" s="148" customFormat="1" ht="15">
      <c r="A46" s="173" t="s">
        <v>248</v>
      </c>
      <c r="B46" s="172">
        <v>553.3</v>
      </c>
      <c r="C46" s="171">
        <v>204.4</v>
      </c>
      <c r="D46" s="170">
        <v>469.2</v>
      </c>
      <c r="E46" s="168">
        <f t="shared" si="0"/>
        <v>74.5</v>
      </c>
      <c r="F46" s="169">
        <v>28.5</v>
      </c>
      <c r="G46" s="168">
        <v>18</v>
      </c>
      <c r="H46" s="169"/>
      <c r="I46" s="169"/>
      <c r="J46" s="168">
        <v>28</v>
      </c>
      <c r="K46" s="169">
        <v>14.3</v>
      </c>
      <c r="L46" s="168">
        <v>13.7</v>
      </c>
      <c r="M46" s="167">
        <v>8.6</v>
      </c>
      <c r="N46" s="159">
        <f t="shared" si="1"/>
        <v>1310</v>
      </c>
      <c r="O46" s="166">
        <f t="shared" si="2"/>
        <v>46</v>
      </c>
    </row>
    <row r="47" spans="1:15" s="148" customFormat="1" ht="15">
      <c r="A47" s="173" t="s">
        <v>247</v>
      </c>
      <c r="B47" s="172">
        <v>2226.6</v>
      </c>
      <c r="C47" s="171">
        <v>3821.5</v>
      </c>
      <c r="D47" s="170">
        <v>574.4</v>
      </c>
      <c r="E47" s="168">
        <f t="shared" si="0"/>
        <v>276.6</v>
      </c>
      <c r="F47" s="169">
        <v>76.5</v>
      </c>
      <c r="G47" s="168">
        <v>82.9</v>
      </c>
      <c r="H47" s="169"/>
      <c r="I47" s="169"/>
      <c r="J47" s="168">
        <v>117.2</v>
      </c>
      <c r="K47" s="169">
        <v>40.4</v>
      </c>
      <c r="L47" s="168">
        <v>76.8</v>
      </c>
      <c r="M47" s="167">
        <v>125.5</v>
      </c>
      <c r="N47" s="159">
        <f t="shared" si="1"/>
        <v>7024.6</v>
      </c>
      <c r="O47" s="166">
        <f t="shared" si="2"/>
        <v>200.10000000000002</v>
      </c>
    </row>
    <row r="48" spans="1:15" s="148" customFormat="1" ht="15">
      <c r="A48" s="173" t="s">
        <v>246</v>
      </c>
      <c r="B48" s="172">
        <v>1224</v>
      </c>
      <c r="C48" s="171">
        <v>1871.6</v>
      </c>
      <c r="D48" s="170">
        <v>285.8</v>
      </c>
      <c r="E48" s="168">
        <f t="shared" si="0"/>
        <v>88.1</v>
      </c>
      <c r="F48" s="169">
        <v>26.1</v>
      </c>
      <c r="G48" s="168">
        <v>34.4</v>
      </c>
      <c r="H48" s="169"/>
      <c r="I48" s="169"/>
      <c r="J48" s="168">
        <v>27.6</v>
      </c>
      <c r="K48" s="169">
        <v>19.8</v>
      </c>
      <c r="L48" s="168">
        <v>7.8</v>
      </c>
      <c r="M48" s="167">
        <v>47</v>
      </c>
      <c r="N48" s="159">
        <f t="shared" si="1"/>
        <v>3516.5</v>
      </c>
      <c r="O48" s="166">
        <f t="shared" si="2"/>
        <v>61.99999999999999</v>
      </c>
    </row>
    <row r="49" spans="1:15" s="148" customFormat="1" ht="15">
      <c r="A49" s="173" t="s">
        <v>245</v>
      </c>
      <c r="B49" s="172">
        <v>538.7</v>
      </c>
      <c r="C49" s="171">
        <v>1221</v>
      </c>
      <c r="D49" s="170">
        <v>385.3</v>
      </c>
      <c r="E49" s="168">
        <f t="shared" si="0"/>
        <v>101.7</v>
      </c>
      <c r="F49" s="169">
        <v>20.8</v>
      </c>
      <c r="G49" s="168">
        <v>40.7</v>
      </c>
      <c r="H49" s="169"/>
      <c r="I49" s="169"/>
      <c r="J49" s="168">
        <v>40.2</v>
      </c>
      <c r="K49" s="169">
        <v>13.8</v>
      </c>
      <c r="L49" s="168">
        <v>26.4</v>
      </c>
      <c r="M49" s="167">
        <v>53.3</v>
      </c>
      <c r="N49" s="159">
        <f t="shared" si="1"/>
        <v>2300</v>
      </c>
      <c r="O49" s="166">
        <f t="shared" si="2"/>
        <v>80.9</v>
      </c>
    </row>
    <row r="50" spans="1:15" s="148" customFormat="1" ht="15">
      <c r="A50" s="173" t="s">
        <v>244</v>
      </c>
      <c r="B50" s="172">
        <v>672.6</v>
      </c>
      <c r="C50" s="171">
        <v>450.1</v>
      </c>
      <c r="D50" s="170">
        <v>625.6</v>
      </c>
      <c r="E50" s="168">
        <f t="shared" si="0"/>
        <v>81</v>
      </c>
      <c r="F50" s="169">
        <v>31.6</v>
      </c>
      <c r="G50" s="168">
        <v>8.1</v>
      </c>
      <c r="H50" s="169"/>
      <c r="I50" s="169"/>
      <c r="J50" s="168">
        <v>41.3</v>
      </c>
      <c r="K50" s="169">
        <v>22.7</v>
      </c>
      <c r="L50" s="168">
        <v>18.6</v>
      </c>
      <c r="M50" s="167">
        <v>9.9</v>
      </c>
      <c r="N50" s="159">
        <f t="shared" si="1"/>
        <v>1839.2000000000003</v>
      </c>
      <c r="O50" s="166">
        <f t="shared" si="2"/>
        <v>49.4</v>
      </c>
    </row>
    <row r="51" spans="1:15" s="148" customFormat="1" ht="15">
      <c r="A51" s="173" t="s">
        <v>243</v>
      </c>
      <c r="B51" s="172">
        <v>1833.5</v>
      </c>
      <c r="C51" s="171">
        <v>1739.5</v>
      </c>
      <c r="D51" s="170">
        <v>485.1</v>
      </c>
      <c r="E51" s="168">
        <f t="shared" si="0"/>
        <v>198.8</v>
      </c>
      <c r="F51" s="169">
        <v>42.2</v>
      </c>
      <c r="G51" s="168">
        <v>87.7</v>
      </c>
      <c r="H51" s="169"/>
      <c r="I51" s="169"/>
      <c r="J51" s="168">
        <v>68.9</v>
      </c>
      <c r="K51" s="169">
        <v>25.9</v>
      </c>
      <c r="L51" s="168">
        <v>43</v>
      </c>
      <c r="M51" s="167">
        <v>122.1</v>
      </c>
      <c r="N51" s="159">
        <f t="shared" si="1"/>
        <v>4379</v>
      </c>
      <c r="O51" s="166">
        <f t="shared" si="2"/>
        <v>156.60000000000002</v>
      </c>
    </row>
    <row r="52" spans="1:15" s="148" customFormat="1" ht="15">
      <c r="A52" s="173" t="s">
        <v>242</v>
      </c>
      <c r="B52" s="172">
        <v>1212.1</v>
      </c>
      <c r="C52" s="171">
        <v>247.5</v>
      </c>
      <c r="D52" s="170">
        <v>507.9</v>
      </c>
      <c r="E52" s="168">
        <f t="shared" si="0"/>
        <v>90</v>
      </c>
      <c r="F52" s="169">
        <v>27.3</v>
      </c>
      <c r="G52" s="168">
        <v>37.3</v>
      </c>
      <c r="H52" s="169"/>
      <c r="I52" s="169"/>
      <c r="J52" s="168">
        <v>25.4</v>
      </c>
      <c r="K52" s="169">
        <v>14.5</v>
      </c>
      <c r="L52" s="168">
        <v>10.9</v>
      </c>
      <c r="M52" s="167">
        <v>36.3</v>
      </c>
      <c r="N52" s="159">
        <f t="shared" si="1"/>
        <v>2093.8</v>
      </c>
      <c r="O52" s="166">
        <f t="shared" si="2"/>
        <v>62.7</v>
      </c>
    </row>
    <row r="53" spans="1:15" s="148" customFormat="1" ht="15">
      <c r="A53" s="173" t="s">
        <v>241</v>
      </c>
      <c r="B53" s="172">
        <v>793.6</v>
      </c>
      <c r="C53" s="171">
        <v>221.6</v>
      </c>
      <c r="D53" s="170">
        <v>191</v>
      </c>
      <c r="E53" s="168">
        <f t="shared" si="0"/>
        <v>57.900000000000006</v>
      </c>
      <c r="F53" s="169">
        <v>20.9</v>
      </c>
      <c r="G53" s="168">
        <v>11.3</v>
      </c>
      <c r="H53" s="169"/>
      <c r="I53" s="169"/>
      <c r="J53" s="168">
        <v>25.7</v>
      </c>
      <c r="K53" s="169">
        <v>6.7</v>
      </c>
      <c r="L53" s="168">
        <v>19</v>
      </c>
      <c r="M53" s="167">
        <v>9.5</v>
      </c>
      <c r="N53" s="159">
        <f t="shared" si="1"/>
        <v>1273.6</v>
      </c>
      <c r="O53" s="166">
        <f t="shared" si="2"/>
        <v>37.00000000000001</v>
      </c>
    </row>
    <row r="54" spans="1:15" s="148" customFormat="1" ht="15.75" thickBot="1">
      <c r="A54" s="173" t="s">
        <v>240</v>
      </c>
      <c r="B54" s="172">
        <v>642.4</v>
      </c>
      <c r="C54" s="171">
        <v>523.8</v>
      </c>
      <c r="D54" s="170">
        <v>296.2</v>
      </c>
      <c r="E54" s="168">
        <f t="shared" si="0"/>
        <v>109.30000000000001</v>
      </c>
      <c r="F54" s="169">
        <v>24.6</v>
      </c>
      <c r="G54" s="168">
        <v>21</v>
      </c>
      <c r="H54" s="169"/>
      <c r="I54" s="169"/>
      <c r="J54" s="168">
        <v>63.7</v>
      </c>
      <c r="K54" s="169">
        <v>13</v>
      </c>
      <c r="L54" s="168">
        <v>32.3</v>
      </c>
      <c r="M54" s="167">
        <v>24.4</v>
      </c>
      <c r="N54" s="159">
        <f t="shared" si="1"/>
        <v>1596.1</v>
      </c>
      <c r="O54" s="166">
        <f t="shared" si="2"/>
        <v>84.70000000000002</v>
      </c>
    </row>
    <row r="55" spans="1:14" s="148" customFormat="1" ht="15.75" hidden="1" thickBot="1">
      <c r="A55" s="165" t="s">
        <v>239</v>
      </c>
      <c r="B55" s="164"/>
      <c r="C55" s="163"/>
      <c r="D55" s="162"/>
      <c r="E55" s="161"/>
      <c r="F55" s="161"/>
      <c r="G55" s="161"/>
      <c r="H55" s="161"/>
      <c r="I55" s="161"/>
      <c r="J55" s="161"/>
      <c r="K55" s="161"/>
      <c r="L55" s="161"/>
      <c r="M55" s="160"/>
      <c r="N55" s="159">
        <f t="shared" si="1"/>
        <v>0</v>
      </c>
    </row>
    <row r="56" spans="1:15" s="151" customFormat="1" ht="15.75" thickBot="1">
      <c r="A56" s="158" t="s">
        <v>238</v>
      </c>
      <c r="B56" s="157">
        <f aca="true" t="shared" si="3" ref="B56:O56">SUM(B10:B55)</f>
        <v>97784.1</v>
      </c>
      <c r="C56" s="156">
        <f t="shared" si="3"/>
        <v>183652.40000000005</v>
      </c>
      <c r="D56" s="155">
        <f t="shared" si="3"/>
        <v>14616.399999999998</v>
      </c>
      <c r="E56" s="154">
        <f t="shared" si="3"/>
        <v>45541.10000000001</v>
      </c>
      <c r="F56" s="154">
        <f t="shared" si="3"/>
        <v>25963.499999999993</v>
      </c>
      <c r="G56" s="154">
        <f t="shared" si="3"/>
        <v>7403.200000000003</v>
      </c>
      <c r="H56" s="154">
        <f t="shared" si="3"/>
        <v>339.8</v>
      </c>
      <c r="I56" s="154">
        <f t="shared" si="3"/>
        <v>3004</v>
      </c>
      <c r="J56" s="154">
        <f t="shared" si="3"/>
        <v>8830.600000000004</v>
      </c>
      <c r="K56" s="154">
        <f t="shared" si="3"/>
        <v>1770</v>
      </c>
      <c r="L56" s="154">
        <f t="shared" si="3"/>
        <v>7060.599999999999</v>
      </c>
      <c r="M56" s="153">
        <f t="shared" si="3"/>
        <v>5160.200000000001</v>
      </c>
      <c r="N56" s="152">
        <f t="shared" si="3"/>
        <v>346754.19999999984</v>
      </c>
      <c r="O56" s="152">
        <f t="shared" si="3"/>
        <v>19577.600000000006</v>
      </c>
    </row>
    <row r="57" ht="12.75">
      <c r="A57" s="149"/>
    </row>
    <row r="58" spans="1:9" ht="12.75">
      <c r="A58" s="149"/>
      <c r="I58" s="150"/>
    </row>
    <row r="59" ht="12.75">
      <c r="A59" s="149"/>
    </row>
    <row r="60" ht="12.75">
      <c r="A60" s="149"/>
    </row>
    <row r="61" ht="12.75">
      <c r="A61" s="149"/>
    </row>
    <row r="62" ht="12.75">
      <c r="A62" s="149"/>
    </row>
    <row r="63" ht="12.75">
      <c r="A63" s="149"/>
    </row>
    <row r="64" ht="12.75">
      <c r="A64" s="149"/>
    </row>
    <row r="65" ht="12.75">
      <c r="A65" s="149"/>
    </row>
    <row r="66" ht="12.75">
      <c r="A66" s="149"/>
    </row>
    <row r="67" ht="12.75">
      <c r="A67" s="149"/>
    </row>
    <row r="68" ht="12.75">
      <c r="A68" s="149"/>
    </row>
    <row r="69" ht="12.75">
      <c r="A69" s="149"/>
    </row>
    <row r="70" ht="12.75">
      <c r="A70" s="148"/>
    </row>
    <row r="71" ht="12.75">
      <c r="A71" s="148"/>
    </row>
    <row r="72" ht="12.75">
      <c r="A72" s="148"/>
    </row>
    <row r="73" ht="12.75">
      <c r="A73" s="148"/>
    </row>
    <row r="74" ht="12.75">
      <c r="A74" s="148"/>
    </row>
    <row r="75" ht="12.75">
      <c r="A75" s="148"/>
    </row>
    <row r="76" ht="12.75">
      <c r="A76" s="148"/>
    </row>
    <row r="77" ht="12.75">
      <c r="A77" s="148"/>
    </row>
    <row r="78" ht="12.75">
      <c r="A78" s="148"/>
    </row>
    <row r="79" ht="12.75">
      <c r="A79" s="148"/>
    </row>
    <row r="80" ht="12.75">
      <c r="A80" s="148"/>
    </row>
    <row r="81" ht="12.75">
      <c r="A81" s="148"/>
    </row>
    <row r="82" ht="12.75">
      <c r="A82" s="148"/>
    </row>
    <row r="83" ht="12.75">
      <c r="A83" s="148"/>
    </row>
    <row r="84" ht="12.75">
      <c r="A84" s="148"/>
    </row>
    <row r="85" ht="12.75">
      <c r="A85" s="148"/>
    </row>
    <row r="86" ht="12.75">
      <c r="A86" s="148"/>
    </row>
    <row r="87" ht="12.75">
      <c r="A87" s="148"/>
    </row>
    <row r="88" ht="12.75">
      <c r="A88" s="148"/>
    </row>
    <row r="89" ht="12.75">
      <c r="A89" s="148"/>
    </row>
    <row r="90" ht="12.75">
      <c r="A90" s="148"/>
    </row>
    <row r="91" ht="12.75">
      <c r="A91" s="148"/>
    </row>
    <row r="92" ht="12.75">
      <c r="A92" s="148"/>
    </row>
    <row r="93" ht="12.75">
      <c r="A93" s="148"/>
    </row>
    <row r="94" ht="12.75">
      <c r="A94" s="148"/>
    </row>
    <row r="95" ht="12.75">
      <c r="A95" s="148"/>
    </row>
    <row r="96" ht="12.75">
      <c r="A96" s="148"/>
    </row>
  </sheetData>
  <mergeCells count="16">
    <mergeCell ref="K8:K9"/>
    <mergeCell ref="L8:L9"/>
    <mergeCell ref="F8:F9"/>
    <mergeCell ref="G8:G9"/>
    <mergeCell ref="H8:I8"/>
    <mergeCell ref="J8:J9"/>
    <mergeCell ref="A4:N4"/>
    <mergeCell ref="A6:A9"/>
    <mergeCell ref="B6:N6"/>
    <mergeCell ref="B7:B9"/>
    <mergeCell ref="C7:C9"/>
    <mergeCell ref="D7:D9"/>
    <mergeCell ref="E7:E9"/>
    <mergeCell ref="F7:L7"/>
    <mergeCell ref="M7:M9"/>
    <mergeCell ref="N7:N9"/>
  </mergeCells>
  <printOptions/>
  <pageMargins left="1.04" right="0.2362204724409449" top="0.3937007874015748" bottom="0.22" header="0.4724409448818898" footer="0.2362204724409449"/>
  <pageSetup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7"/>
  <sheetViews>
    <sheetView view="pageBreakPreview" zoomScale="60" zoomScaleNormal="65" workbookViewId="0" topLeftCell="A1">
      <selection activeCell="A1" sqref="A1:IV16384"/>
    </sheetView>
  </sheetViews>
  <sheetFormatPr defaultColWidth="9.00390625" defaultRowHeight="12.75"/>
  <cols>
    <col min="1" max="1" width="20.00390625" style="147" customWidth="1"/>
    <col min="2" max="2" width="22.375" style="147" customWidth="1"/>
    <col min="3" max="3" width="19.25390625" style="147" customWidth="1"/>
    <col min="4" max="4" width="12.00390625" style="147" customWidth="1"/>
    <col min="5" max="5" width="0" style="147" hidden="1" customWidth="1"/>
    <col min="6" max="16384" width="9.125" style="147" customWidth="1"/>
  </cols>
  <sheetData>
    <row r="1" spans="3:4" ht="12.75">
      <c r="C1" s="237" t="s">
        <v>305</v>
      </c>
      <c r="D1" s="237"/>
    </row>
    <row r="2" spans="3:4" ht="12.75">
      <c r="C2" s="237" t="s">
        <v>1</v>
      </c>
      <c r="D2" s="237"/>
    </row>
    <row r="5" spans="1:4" ht="33.75" customHeight="1">
      <c r="A5" s="225" t="s">
        <v>306</v>
      </c>
      <c r="B5" s="225"/>
      <c r="C5" s="225"/>
      <c r="D5" s="225"/>
    </row>
    <row r="6" spans="1:4" ht="12.75" customHeight="1">
      <c r="A6" s="179"/>
      <c r="B6" s="179"/>
      <c r="C6" s="179"/>
      <c r="D6" s="178" t="s">
        <v>307</v>
      </c>
    </row>
    <row r="7" spans="1:4" ht="12.75" customHeight="1">
      <c r="A7" s="226" t="s">
        <v>300</v>
      </c>
      <c r="B7" s="238" t="s">
        <v>308</v>
      </c>
      <c r="C7" s="238" t="s">
        <v>309</v>
      </c>
      <c r="D7" s="234" t="s">
        <v>8</v>
      </c>
    </row>
    <row r="8" spans="1:4" s="176" customFormat="1" ht="16.5" customHeight="1">
      <c r="A8" s="227"/>
      <c r="B8" s="239"/>
      <c r="C8" s="239"/>
      <c r="D8" s="235"/>
    </row>
    <row r="9" spans="1:4" s="176" customFormat="1" ht="64.5" customHeight="1">
      <c r="A9" s="227"/>
      <c r="B9" s="239"/>
      <c r="C9" s="239"/>
      <c r="D9" s="235"/>
    </row>
    <row r="10" spans="1:4" s="176" customFormat="1" ht="78" customHeight="1">
      <c r="A10" s="228"/>
      <c r="B10" s="240"/>
      <c r="C10" s="240"/>
      <c r="D10" s="236"/>
    </row>
    <row r="11" spans="1:5" s="148" customFormat="1" ht="15" hidden="1">
      <c r="A11" s="175" t="s">
        <v>284</v>
      </c>
      <c r="B11" s="171"/>
      <c r="C11" s="174"/>
      <c r="D11" s="159"/>
      <c r="E11" s="166" t="e">
        <f>#REF!-#REF!</f>
        <v>#REF!</v>
      </c>
    </row>
    <row r="12" spans="1:5" s="148" customFormat="1" ht="15" hidden="1">
      <c r="A12" s="173" t="s">
        <v>283</v>
      </c>
      <c r="B12" s="171"/>
      <c r="C12" s="170"/>
      <c r="D12" s="159"/>
      <c r="E12" s="166" t="e">
        <f>#REF!-#REF!</f>
        <v>#REF!</v>
      </c>
    </row>
    <row r="13" spans="1:5" s="148" customFormat="1" ht="15" hidden="1">
      <c r="A13" s="173" t="s">
        <v>282</v>
      </c>
      <c r="B13" s="171"/>
      <c r="C13" s="170"/>
      <c r="D13" s="159"/>
      <c r="E13" s="166" t="e">
        <f>#REF!-#REF!</f>
        <v>#REF!</v>
      </c>
    </row>
    <row r="14" spans="1:5" s="148" customFormat="1" ht="15" hidden="1">
      <c r="A14" s="173" t="s">
        <v>281</v>
      </c>
      <c r="B14" s="171"/>
      <c r="C14" s="170"/>
      <c r="D14" s="159"/>
      <c r="E14" s="166" t="e">
        <f>#REF!-#REF!</f>
        <v>#REF!</v>
      </c>
    </row>
    <row r="15" spans="1:5" s="148" customFormat="1" ht="15">
      <c r="A15" s="173" t="s">
        <v>280</v>
      </c>
      <c r="B15" s="171">
        <v>300</v>
      </c>
      <c r="C15" s="170"/>
      <c r="D15" s="159">
        <f>B15+C15</f>
        <v>300</v>
      </c>
      <c r="E15" s="166" t="e">
        <f>#REF!-#REF!</f>
        <v>#REF!</v>
      </c>
    </row>
    <row r="16" spans="1:5" s="148" customFormat="1" ht="15">
      <c r="A16" s="173" t="s">
        <v>279</v>
      </c>
      <c r="B16" s="171">
        <v>1000</v>
      </c>
      <c r="C16" s="170"/>
      <c r="D16" s="159">
        <f>B16+C16</f>
        <v>1000</v>
      </c>
      <c r="E16" s="166" t="e">
        <f>#REF!-#REF!</f>
        <v>#REF!</v>
      </c>
    </row>
    <row r="17" spans="1:5" s="148" customFormat="1" ht="15" hidden="1">
      <c r="A17" s="173" t="s">
        <v>278</v>
      </c>
      <c r="B17" s="171"/>
      <c r="C17" s="170"/>
      <c r="D17" s="159"/>
      <c r="E17" s="166" t="e">
        <f>#REF!-#REF!</f>
        <v>#REF!</v>
      </c>
    </row>
    <row r="18" spans="1:5" s="148" customFormat="1" ht="15" hidden="1">
      <c r="A18" s="173" t="s">
        <v>277</v>
      </c>
      <c r="B18" s="171"/>
      <c r="C18" s="170"/>
      <c r="D18" s="159"/>
      <c r="E18" s="166" t="e">
        <f>#REF!-#REF!</f>
        <v>#REF!</v>
      </c>
    </row>
    <row r="19" spans="1:5" s="148" customFormat="1" ht="15">
      <c r="A19" s="173" t="s">
        <v>276</v>
      </c>
      <c r="B19" s="171"/>
      <c r="C19" s="170">
        <v>200</v>
      </c>
      <c r="D19" s="159">
        <f>B19+C19</f>
        <v>200</v>
      </c>
      <c r="E19" s="166" t="e">
        <f>#REF!-#REF!</f>
        <v>#REF!</v>
      </c>
    </row>
    <row r="20" spans="1:5" s="148" customFormat="1" ht="15" hidden="1">
      <c r="A20" s="173" t="s">
        <v>275</v>
      </c>
      <c r="B20" s="171"/>
      <c r="C20" s="170"/>
      <c r="D20" s="159"/>
      <c r="E20" s="166" t="e">
        <f>#REF!-#REF!</f>
        <v>#REF!</v>
      </c>
    </row>
    <row r="21" spans="1:5" s="148" customFormat="1" ht="15" hidden="1">
      <c r="A21" s="173" t="s">
        <v>274</v>
      </c>
      <c r="B21" s="171"/>
      <c r="C21" s="170"/>
      <c r="D21" s="159"/>
      <c r="E21" s="166" t="e">
        <f>#REF!-#REF!</f>
        <v>#REF!</v>
      </c>
    </row>
    <row r="22" spans="1:5" s="148" customFormat="1" ht="15" hidden="1">
      <c r="A22" s="173" t="s">
        <v>273</v>
      </c>
      <c r="B22" s="171"/>
      <c r="C22" s="170"/>
      <c r="D22" s="159"/>
      <c r="E22" s="166" t="e">
        <f>#REF!-#REF!</f>
        <v>#REF!</v>
      </c>
    </row>
    <row r="23" spans="1:5" s="148" customFormat="1" ht="15" hidden="1">
      <c r="A23" s="173" t="s">
        <v>272</v>
      </c>
      <c r="B23" s="171"/>
      <c r="C23" s="170"/>
      <c r="D23" s="159"/>
      <c r="E23" s="166" t="e">
        <f>#REF!-#REF!</f>
        <v>#REF!</v>
      </c>
    </row>
    <row r="24" spans="1:5" s="148" customFormat="1" ht="15">
      <c r="A24" s="173" t="s">
        <v>271</v>
      </c>
      <c r="B24" s="171">
        <v>1500</v>
      </c>
      <c r="C24" s="170"/>
      <c r="D24" s="159">
        <f>B24+C24</f>
        <v>1500</v>
      </c>
      <c r="E24" s="166" t="e">
        <f>#REF!-#REF!</f>
        <v>#REF!</v>
      </c>
    </row>
    <row r="25" spans="1:5" s="148" customFormat="1" ht="15" hidden="1">
      <c r="A25" s="173" t="s">
        <v>270</v>
      </c>
      <c r="B25" s="171"/>
      <c r="C25" s="170"/>
      <c r="D25" s="159"/>
      <c r="E25" s="166" t="e">
        <f>#REF!-#REF!</f>
        <v>#REF!</v>
      </c>
    </row>
    <row r="26" spans="1:5" s="148" customFormat="1" ht="15" hidden="1">
      <c r="A26" s="173" t="s">
        <v>269</v>
      </c>
      <c r="B26" s="171"/>
      <c r="C26" s="170"/>
      <c r="D26" s="159"/>
      <c r="E26" s="166" t="e">
        <f>#REF!-#REF!</f>
        <v>#REF!</v>
      </c>
    </row>
    <row r="27" spans="1:5" s="148" customFormat="1" ht="15" hidden="1">
      <c r="A27" s="173" t="s">
        <v>268</v>
      </c>
      <c r="B27" s="171"/>
      <c r="C27" s="170"/>
      <c r="D27" s="159"/>
      <c r="E27" s="166" t="e">
        <f>#REF!-#REF!</f>
        <v>#REF!</v>
      </c>
    </row>
    <row r="28" spans="1:5" s="148" customFormat="1" ht="15" hidden="1">
      <c r="A28" s="173" t="s">
        <v>267</v>
      </c>
      <c r="B28" s="171"/>
      <c r="C28" s="170"/>
      <c r="D28" s="159"/>
      <c r="E28" s="166" t="e">
        <f>#REF!-#REF!</f>
        <v>#REF!</v>
      </c>
    </row>
    <row r="29" spans="1:5" s="148" customFormat="1" ht="15" hidden="1">
      <c r="A29" s="173" t="s">
        <v>266</v>
      </c>
      <c r="B29" s="171"/>
      <c r="C29" s="170"/>
      <c r="D29" s="159"/>
      <c r="E29" s="166" t="e">
        <f>#REF!-#REF!</f>
        <v>#REF!</v>
      </c>
    </row>
    <row r="30" spans="1:5" s="148" customFormat="1" ht="15" hidden="1">
      <c r="A30" s="173" t="s">
        <v>265</v>
      </c>
      <c r="B30" s="171"/>
      <c r="C30" s="170"/>
      <c r="D30" s="159"/>
      <c r="E30" s="166" t="e">
        <f>#REF!-#REF!</f>
        <v>#REF!</v>
      </c>
    </row>
    <row r="31" spans="1:5" s="148" customFormat="1" ht="15">
      <c r="A31" s="173" t="s">
        <v>264</v>
      </c>
      <c r="B31" s="171">
        <v>1300</v>
      </c>
      <c r="C31" s="170"/>
      <c r="D31" s="159">
        <f>B31+C31</f>
        <v>1300</v>
      </c>
      <c r="E31" s="166" t="e">
        <f>#REF!-#REF!</f>
        <v>#REF!</v>
      </c>
    </row>
    <row r="32" spans="1:5" s="148" customFormat="1" ht="15" hidden="1">
      <c r="A32" s="173" t="s">
        <v>263</v>
      </c>
      <c r="B32" s="171"/>
      <c r="C32" s="170"/>
      <c r="D32" s="159"/>
      <c r="E32" s="166" t="e">
        <f>#REF!-#REF!</f>
        <v>#REF!</v>
      </c>
    </row>
    <row r="33" spans="1:5" s="148" customFormat="1" ht="15" hidden="1">
      <c r="A33" s="173" t="s">
        <v>262</v>
      </c>
      <c r="B33" s="171"/>
      <c r="C33" s="170"/>
      <c r="D33" s="159"/>
      <c r="E33" s="166" t="e">
        <f>#REF!-#REF!</f>
        <v>#REF!</v>
      </c>
    </row>
    <row r="34" spans="1:5" s="148" customFormat="1" ht="15" hidden="1">
      <c r="A34" s="173" t="s">
        <v>261</v>
      </c>
      <c r="B34" s="171"/>
      <c r="C34" s="170"/>
      <c r="D34" s="159"/>
      <c r="E34" s="166" t="e">
        <f>#REF!-#REF!</f>
        <v>#REF!</v>
      </c>
    </row>
    <row r="35" spans="1:5" s="148" customFormat="1" ht="15" hidden="1">
      <c r="A35" s="173" t="s">
        <v>260</v>
      </c>
      <c r="B35" s="171"/>
      <c r="C35" s="170"/>
      <c r="D35" s="159"/>
      <c r="E35" s="166" t="e">
        <f>#REF!-#REF!</f>
        <v>#REF!</v>
      </c>
    </row>
    <row r="36" spans="1:5" s="148" customFormat="1" ht="15" hidden="1">
      <c r="A36" s="173" t="s">
        <v>259</v>
      </c>
      <c r="B36" s="171"/>
      <c r="C36" s="170"/>
      <c r="D36" s="159"/>
      <c r="E36" s="166" t="e">
        <f>#REF!-#REF!</f>
        <v>#REF!</v>
      </c>
    </row>
    <row r="37" spans="1:5" s="148" customFormat="1" ht="15" hidden="1">
      <c r="A37" s="173" t="s">
        <v>258</v>
      </c>
      <c r="B37" s="171"/>
      <c r="C37" s="170"/>
      <c r="D37" s="159"/>
      <c r="E37" s="166" t="e">
        <f>#REF!-#REF!</f>
        <v>#REF!</v>
      </c>
    </row>
    <row r="38" spans="1:5" s="148" customFormat="1" ht="15" hidden="1">
      <c r="A38" s="173" t="s">
        <v>257</v>
      </c>
      <c r="B38" s="171"/>
      <c r="C38" s="170"/>
      <c r="D38" s="159"/>
      <c r="E38" s="166" t="e">
        <f>#REF!-#REF!</f>
        <v>#REF!</v>
      </c>
    </row>
    <row r="39" spans="1:5" s="148" customFormat="1" ht="15">
      <c r="A39" s="173" t="s">
        <v>256</v>
      </c>
      <c r="B39" s="171">
        <v>200</v>
      </c>
      <c r="C39" s="170"/>
      <c r="D39" s="159">
        <f>B39+C39</f>
        <v>200</v>
      </c>
      <c r="E39" s="166" t="e">
        <f>#REF!-#REF!</f>
        <v>#REF!</v>
      </c>
    </row>
    <row r="40" spans="1:5" s="148" customFormat="1" ht="15">
      <c r="A40" s="173" t="s">
        <v>255</v>
      </c>
      <c r="B40" s="171">
        <v>250</v>
      </c>
      <c r="C40" s="170"/>
      <c r="D40" s="159">
        <f>B40+C40</f>
        <v>250</v>
      </c>
      <c r="E40" s="166" t="e">
        <f>#REF!-#REF!</f>
        <v>#REF!</v>
      </c>
    </row>
    <row r="41" spans="1:5" s="148" customFormat="1" ht="15" hidden="1">
      <c r="A41" s="173" t="s">
        <v>254</v>
      </c>
      <c r="B41" s="171"/>
      <c r="C41" s="170"/>
      <c r="D41" s="159"/>
      <c r="E41" s="166" t="e">
        <f>#REF!-#REF!</f>
        <v>#REF!</v>
      </c>
    </row>
    <row r="42" spans="1:5" s="148" customFormat="1" ht="15" hidden="1">
      <c r="A42" s="173" t="s">
        <v>253</v>
      </c>
      <c r="B42" s="171"/>
      <c r="C42" s="170"/>
      <c r="D42" s="159"/>
      <c r="E42" s="166" t="e">
        <f>#REF!-#REF!</f>
        <v>#REF!</v>
      </c>
    </row>
    <row r="43" spans="1:5" s="148" customFormat="1" ht="15" hidden="1">
      <c r="A43" s="173" t="s">
        <v>252</v>
      </c>
      <c r="B43" s="171"/>
      <c r="C43" s="170"/>
      <c r="D43" s="159"/>
      <c r="E43" s="166" t="e">
        <f>#REF!-#REF!</f>
        <v>#REF!</v>
      </c>
    </row>
    <row r="44" spans="1:5" s="148" customFormat="1" ht="15" hidden="1">
      <c r="A44" s="173" t="s">
        <v>251</v>
      </c>
      <c r="B44" s="171"/>
      <c r="C44" s="170"/>
      <c r="D44" s="159"/>
      <c r="E44" s="166" t="e">
        <f>#REF!-#REF!</f>
        <v>#REF!</v>
      </c>
    </row>
    <row r="45" spans="1:5" s="148" customFormat="1" ht="15">
      <c r="A45" s="173" t="s">
        <v>250</v>
      </c>
      <c r="B45" s="171">
        <v>150</v>
      </c>
      <c r="C45" s="170"/>
      <c r="D45" s="159">
        <f>B45+C45</f>
        <v>150</v>
      </c>
      <c r="E45" s="166" t="e">
        <f>#REF!-#REF!</f>
        <v>#REF!</v>
      </c>
    </row>
    <row r="46" spans="1:5" s="148" customFormat="1" ht="15">
      <c r="A46" s="173" t="s">
        <v>249</v>
      </c>
      <c r="B46" s="171">
        <v>100</v>
      </c>
      <c r="C46" s="170"/>
      <c r="D46" s="159">
        <f>B46+C46</f>
        <v>100</v>
      </c>
      <c r="E46" s="166" t="e">
        <f>#REF!-#REF!</f>
        <v>#REF!</v>
      </c>
    </row>
    <row r="47" spans="1:5" s="148" customFormat="1" ht="15" hidden="1">
      <c r="A47" s="173" t="s">
        <v>248</v>
      </c>
      <c r="B47" s="171"/>
      <c r="C47" s="170"/>
      <c r="D47" s="159"/>
      <c r="E47" s="166" t="e">
        <f>#REF!-#REF!</f>
        <v>#REF!</v>
      </c>
    </row>
    <row r="48" spans="1:5" s="148" customFormat="1" ht="15" hidden="1">
      <c r="A48" s="173" t="s">
        <v>247</v>
      </c>
      <c r="B48" s="171"/>
      <c r="C48" s="170"/>
      <c r="D48" s="159"/>
      <c r="E48" s="166" t="e">
        <f>#REF!-#REF!</f>
        <v>#REF!</v>
      </c>
    </row>
    <row r="49" spans="1:5" s="148" customFormat="1" ht="15" hidden="1">
      <c r="A49" s="173" t="s">
        <v>246</v>
      </c>
      <c r="B49" s="171"/>
      <c r="C49" s="170"/>
      <c r="D49" s="159"/>
      <c r="E49" s="166" t="e">
        <f>#REF!-#REF!</f>
        <v>#REF!</v>
      </c>
    </row>
    <row r="50" spans="1:5" s="148" customFormat="1" ht="15">
      <c r="A50" s="173" t="s">
        <v>245</v>
      </c>
      <c r="B50" s="171"/>
      <c r="C50" s="170">
        <v>100</v>
      </c>
      <c r="D50" s="159">
        <f>B50+C50</f>
        <v>100</v>
      </c>
      <c r="E50" s="166" t="e">
        <f>#REF!-#REF!</f>
        <v>#REF!</v>
      </c>
    </row>
    <row r="51" spans="1:5" s="148" customFormat="1" ht="15" hidden="1">
      <c r="A51" s="173" t="s">
        <v>244</v>
      </c>
      <c r="B51" s="171"/>
      <c r="C51" s="170"/>
      <c r="D51" s="159"/>
      <c r="E51" s="166" t="e">
        <f>#REF!-#REF!</f>
        <v>#REF!</v>
      </c>
    </row>
    <row r="52" spans="1:5" s="148" customFormat="1" ht="15" hidden="1">
      <c r="A52" s="173" t="s">
        <v>243</v>
      </c>
      <c r="B52" s="171"/>
      <c r="C52" s="170"/>
      <c r="D52" s="159"/>
      <c r="E52" s="166" t="e">
        <f>#REF!-#REF!</f>
        <v>#REF!</v>
      </c>
    </row>
    <row r="53" spans="1:5" s="148" customFormat="1" ht="15">
      <c r="A53" s="173" t="s">
        <v>242</v>
      </c>
      <c r="B53" s="171">
        <v>100</v>
      </c>
      <c r="C53" s="170"/>
      <c r="D53" s="159">
        <f>B53+C53</f>
        <v>100</v>
      </c>
      <c r="E53" s="166" t="e">
        <f>#REF!-#REF!</f>
        <v>#REF!</v>
      </c>
    </row>
    <row r="54" spans="1:5" s="148" customFormat="1" ht="15.75" thickBot="1">
      <c r="A54" s="173" t="s">
        <v>241</v>
      </c>
      <c r="B54" s="171">
        <v>100</v>
      </c>
      <c r="C54" s="170"/>
      <c r="D54" s="159">
        <f>B54+C54</f>
        <v>100</v>
      </c>
      <c r="E54" s="166" t="e">
        <f>#REF!-#REF!</f>
        <v>#REF!</v>
      </c>
    </row>
    <row r="55" spans="1:5" s="148" customFormat="1" ht="15.75" hidden="1" thickBot="1">
      <c r="A55" s="173" t="s">
        <v>240</v>
      </c>
      <c r="B55" s="171"/>
      <c r="C55" s="170"/>
      <c r="D55" s="159"/>
      <c r="E55" s="166" t="e">
        <f>#REF!-#REF!</f>
        <v>#REF!</v>
      </c>
    </row>
    <row r="56" spans="1:4" s="148" customFormat="1" ht="15.75" hidden="1" thickBot="1">
      <c r="A56" s="165" t="s">
        <v>239</v>
      </c>
      <c r="B56" s="163"/>
      <c r="C56" s="162"/>
      <c r="D56" s="159"/>
    </row>
    <row r="57" spans="1:5" s="151" customFormat="1" ht="15.75" thickBot="1">
      <c r="A57" s="158" t="s">
        <v>238</v>
      </c>
      <c r="B57" s="156">
        <f>SUM(B11:B56)</f>
        <v>5000</v>
      </c>
      <c r="C57" s="155">
        <f>SUM(C11:C56)</f>
        <v>300</v>
      </c>
      <c r="D57" s="152">
        <f>SUM(D11:D56)</f>
        <v>5300</v>
      </c>
      <c r="E57" s="152" t="e">
        <f>SUM(E11:E56)</f>
        <v>#REF!</v>
      </c>
    </row>
    <row r="58" ht="12.75">
      <c r="A58" s="149"/>
    </row>
    <row r="59" ht="12.75">
      <c r="A59" s="149"/>
    </row>
    <row r="60" ht="12.75">
      <c r="A60" s="149"/>
    </row>
    <row r="61" ht="12.75">
      <c r="A61" s="149"/>
    </row>
    <row r="62" ht="12.75">
      <c r="A62" s="149"/>
    </row>
    <row r="63" ht="12.75">
      <c r="A63" s="149"/>
    </row>
    <row r="64" ht="12.75">
      <c r="A64" s="149"/>
    </row>
    <row r="65" ht="12.75">
      <c r="A65" s="149"/>
    </row>
    <row r="66" ht="12.75">
      <c r="A66" s="149"/>
    </row>
    <row r="67" ht="12.75">
      <c r="A67" s="149"/>
    </row>
    <row r="68" ht="12.75">
      <c r="A68" s="149"/>
    </row>
    <row r="69" ht="12.75">
      <c r="A69" s="149"/>
    </row>
    <row r="70" ht="12.75">
      <c r="A70" s="149"/>
    </row>
    <row r="71" ht="12.75">
      <c r="A71" s="148"/>
    </row>
    <row r="72" ht="12.75">
      <c r="A72" s="148"/>
    </row>
    <row r="73" ht="12.75">
      <c r="A73" s="148"/>
    </row>
    <row r="74" ht="12.75">
      <c r="A74" s="148"/>
    </row>
    <row r="75" ht="12.75">
      <c r="A75" s="148"/>
    </row>
    <row r="76" ht="12.75">
      <c r="A76" s="148"/>
    </row>
    <row r="77" ht="12.75">
      <c r="A77" s="148"/>
    </row>
    <row r="78" ht="12.75">
      <c r="A78" s="148"/>
    </row>
    <row r="79" ht="12.75">
      <c r="A79" s="148"/>
    </row>
    <row r="80" ht="12.75">
      <c r="A80" s="148"/>
    </row>
    <row r="81" ht="12.75">
      <c r="A81" s="148"/>
    </row>
    <row r="82" ht="12.75">
      <c r="A82" s="148"/>
    </row>
    <row r="83" ht="12.75">
      <c r="A83" s="148"/>
    </row>
    <row r="84" ht="12.75">
      <c r="A84" s="148"/>
    </row>
    <row r="85" ht="12.75">
      <c r="A85" s="148"/>
    </row>
    <row r="86" ht="12.75">
      <c r="A86" s="148"/>
    </row>
    <row r="87" ht="12.75">
      <c r="A87" s="148"/>
    </row>
    <row r="88" ht="12.75">
      <c r="A88" s="148"/>
    </row>
    <row r="89" ht="12.75">
      <c r="A89" s="148"/>
    </row>
    <row r="90" ht="12.75">
      <c r="A90" s="148"/>
    </row>
    <row r="91" ht="12.75">
      <c r="A91" s="148"/>
    </row>
    <row r="92" ht="12.75">
      <c r="A92" s="148"/>
    </row>
    <row r="93" ht="12.75">
      <c r="A93" s="148"/>
    </row>
    <row r="94" ht="12.75">
      <c r="A94" s="148"/>
    </row>
    <row r="95" ht="12.75">
      <c r="A95" s="148"/>
    </row>
    <row r="96" ht="12.75">
      <c r="A96" s="148"/>
    </row>
    <row r="97" ht="12.75">
      <c r="A97" s="148"/>
    </row>
  </sheetData>
  <mergeCells count="7">
    <mergeCell ref="C1:D1"/>
    <mergeCell ref="C2:D2"/>
    <mergeCell ref="A5:D5"/>
    <mergeCell ref="A7:A10"/>
    <mergeCell ref="B7:B10"/>
    <mergeCell ref="C7:C10"/>
    <mergeCell ref="D7:D10"/>
  </mergeCells>
  <printOptions/>
  <pageMargins left="1.3385826771653544" right="0.5118110236220472" top="0.984251968503937" bottom="0.984251968503937" header="0.5118110236220472" footer="0.5118110236220472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Турло Светлана</dc:creator>
  <cp:keywords/>
  <dc:description/>
  <cp:lastModifiedBy>Турло Светлана</cp:lastModifiedBy>
  <cp:lastPrinted>2003-10-23T13:49:12Z</cp:lastPrinted>
  <dcterms:created xsi:type="dcterms:W3CDTF">2003-10-21T11:26:02Z</dcterms:created>
  <dcterms:modified xsi:type="dcterms:W3CDTF">2003-10-23T13:51:18Z</dcterms:modified>
  <cp:category/>
  <cp:version/>
  <cp:contentType/>
  <cp:contentStatus/>
</cp:coreProperties>
</file>