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435" windowWidth="11700" windowHeight="6540" activeTab="0"/>
  </bookViews>
  <sheets>
    <sheet name="2011-2015" sheetId="1" r:id="rId1"/>
  </sheets>
  <definedNames>
    <definedName name="_xlnm.Print_Titles" localSheetId="0">'2011-2015'!$6:$6</definedName>
  </definedNames>
  <calcPr fullCalcOnLoad="1"/>
</workbook>
</file>

<file path=xl/sharedStrings.xml><?xml version="1.0" encoding="utf-8"?>
<sst xmlns="http://schemas.openxmlformats.org/spreadsheetml/2006/main" count="976" uniqueCount="483">
  <si>
    <t>ДП "Макіїввугілля",
ДП "Добропіллявугілля",
ДП "Торезантрацит",
ДП "Красноармійськвугілля",
ДП "Артемвугілля",
ДП "Шахтарськантрацит",
ДП "Сніжнеантрацит",
ДП "Селидіввугілля",
ДП "ДВЕК",
ВАТ "Шахта"Комсомолець Донбасу",
Шахтоуправління "Південнодонбаське №1",
ДП "Орджоникидзевугілля",
ОП "Шахта ім. О.Ф.Засядька",
ВАТ "ВК"Шахта"Красноармійська-Західна № 1",
ДП "ВК"Краснолиманська",
Шахтоуправління "Донбас",
Шахта "Новодзержинська",
ТДВ "Шахта "Білозерська"</t>
  </si>
  <si>
    <t xml:space="preserve">Водовідливних, компресорних, підйомних, калориферних та ін. підземного транспорту </t>
  </si>
  <si>
    <t>ДП "Добропіллявугілля",
ДП "Торезантрацит",
ДП "Красноармійськвугілля",
ДП "Артемвугілля",
ДП "Шахтарськантрацит",
ДП "Сніжнеантрацит",
ДП "ДВЕК",
Шахтоуправління "Південнодонбаське №1",
ДП "ВК"Краснолиманська",
Шахтоуправління "Донбас",
Шахта "Новодзержинська"</t>
  </si>
  <si>
    <t>СО "Зуївська ТЕС" 
ТОВ "Східенерго"</t>
  </si>
  <si>
    <t>Впровадження сучасної технології безперевного лиття трубної заготівки від холодного прокату</t>
  </si>
  <si>
    <t>ВАТ 
"Кіндратівський вогнетривкий завод",
м. Дружківка</t>
  </si>
  <si>
    <t>Реконструкція парового привода у компрессорі К-103-J ОАЗ з метою збільшення ККД</t>
  </si>
  <si>
    <t>Впровадження захолодження повітря на повітрянних компресорах ОАЗ, Завода №1, ГТЄ-25С, ГТУ-8, ГТТ-3М</t>
  </si>
  <si>
    <t>Всоьго по галузі:</t>
  </si>
  <si>
    <t>Впровадження інтенсифікаторів домолу для підвищення продуктивності цементних млинів</t>
  </si>
  <si>
    <t>Впровадження градирні закритого типу на компресорі ТМ 800</t>
  </si>
  <si>
    <t>Поштові відділення області</t>
  </si>
  <si>
    <t>ККП "Донецькміськтепломережа", 
КП "Тепломережа", м.Донецьк</t>
  </si>
  <si>
    <t>ОКП "ДТКЕ", 
ККП "Донецькміськтепломережа",
ЗАТ "Горлівськтепломережа", 
ККП "Маріупольтепломережа"</t>
  </si>
  <si>
    <t>ОКП "ДТКЕ", ККП "Донецькміськтепломережа",КП "Вуглик", 
КП "Макіївкатепломережа"</t>
  </si>
  <si>
    <t>ОКП " Донецьктеплокомуненерго",
ЗАТ "Горлівськтепломережа", 
КП "Краматорська тепломережа", 
КП "Красноармійськтепломережа"</t>
  </si>
  <si>
    <t>ОКП "ДТКЕ", 
ЗАТ "Горлівськтепломережа"</t>
  </si>
  <si>
    <t>ОКП "ДТКЕ",
ККП "Донецькміськтепломережа", 
КП "Вуглик"</t>
  </si>
  <si>
    <t>Реконструкція ЦТП з встановленням пластинчатих теплообмінників на гаряче водопостачання</t>
  </si>
  <si>
    <t>КП "Донецькміськводоканал",                                                               КП "Маріупольське ВУВКГ"</t>
  </si>
  <si>
    <t>КП "Донецькміськводоканал"</t>
  </si>
  <si>
    <t>Харцизьке КП "Міськводоканал"</t>
  </si>
  <si>
    <t>Обласний та
державний бюджети</t>
  </si>
  <si>
    <t>Обласний та 
державний бюджети</t>
  </si>
  <si>
    <t xml:space="preserve">Всього по бюджетним організаціям та установам                                                                             </t>
  </si>
  <si>
    <t>сільськогосподарські 
підприємства області</t>
  </si>
  <si>
    <t>Переведення опалення на місцеві види палива (відходи деревини та органічної складової ТПВ)</t>
  </si>
  <si>
    <t xml:space="preserve">Реконструкція системи центрального опалення стаціонару ЦМЛ                                                                 </t>
  </si>
  <si>
    <t>Міська центральна лікарня
 м. Новогродівка</t>
  </si>
  <si>
    <t>2013-2015,                                     у т. ч. по роках</t>
  </si>
  <si>
    <t>Впровадження повітрянорозподільчої установки</t>
  </si>
  <si>
    <t>ПрАТ "Ер Лікід Єнакієве", 
м. Єнакієве</t>
  </si>
  <si>
    <t>ПАТ "Харцизький трубний завод"</t>
  </si>
  <si>
    <t>Впровадження індукційної печі на 4-й технологічній лінії</t>
  </si>
  <si>
    <t>2013-2014,                                    у т. ч. по роках</t>
  </si>
  <si>
    <t>ПАТ 
"Єнакіївський металургійний завод",
м. Єнакієве</t>
  </si>
  <si>
    <t>Тельманівський район</t>
  </si>
  <si>
    <t>Будівництво малої гідроелектростанції на Павлопольскому водосховищі</t>
  </si>
  <si>
    <t>Житловий фонд:
м. Донецьк,
м. Добропілля,
м. Жданівка,
м. Слов'янськ,
Артемівський р-н,
Великоновосілківський р-н,
Першотравневий р-н</t>
  </si>
  <si>
    <t>Переобладнання стану 390 на коксовий газ</t>
  </si>
  <si>
    <t>2013-2015,                                    у т. ч. по роках</t>
  </si>
  <si>
    <t>Впровадження системи комплексного обліку енергоресурсів (1 етап)</t>
  </si>
  <si>
    <t>Будівництво нових газосбросних пристроїв</t>
  </si>
  <si>
    <t>Модернізація автоматизованих систем управління технологічним процесом опалювальної печі № 1 вапняно-вогнетривкого цеху</t>
  </si>
  <si>
    <t>Макіївський філіал 
ПАТ "Єнакіївський металургійний завод",
м. Макіївка</t>
  </si>
  <si>
    <t>Впровадження трансформаторів ТМ-1000 кВА (4 од.)</t>
  </si>
  <si>
    <t>ПАТ "Донецьккокс"</t>
  </si>
  <si>
    <t>Реконструкція обжигаючої печі, НПЦ</t>
  </si>
  <si>
    <t>ПАТ "Словважмаш", 
м. Слов'янськ</t>
  </si>
  <si>
    <t>Організаційно-технічні заходи</t>
  </si>
  <si>
    <t>ПАТ "ГРЕТА" м. Дружківка</t>
  </si>
  <si>
    <t>Заміна екранів котлоагрегатів енергоблоків № № 13, 12, 8 на газоплотні панелі з заміно пальників на модернізовані</t>
  </si>
  <si>
    <t>Заміна гріючих секцій ПНТ-2,3,4 енергоблоків №№ 13, 8</t>
  </si>
  <si>
    <t>Заміна змійовиків ПВТ-5 енергоблоків №№ 13, 8</t>
  </si>
  <si>
    <t>№ 12</t>
  </si>
  <si>
    <t>№ 13</t>
  </si>
  <si>
    <t>№ 8</t>
  </si>
  <si>
    <t>Модернізація ЦНТ турбіни енергоблоків</t>
  </si>
  <si>
    <t>ЦНТ-2</t>
  </si>
  <si>
    <t>Будівництво вітроенергетичних установок типу "Фурлендер" потужністю 2,5 МВт</t>
  </si>
  <si>
    <t>ТОВ "Вітряний парк Новоазовський",
Новоазовський р-н</t>
  </si>
  <si>
    <t>Житлові організації                                                               м. Донецьк                                                                                             (184 од.)</t>
  </si>
  <si>
    <t>2 кот</t>
  </si>
  <si>
    <t>2кот</t>
  </si>
  <si>
    <t>1 кот</t>
  </si>
  <si>
    <t>Оптимізація систем теплопостачання та впровадження тепло- генеруючого обладнання 
(19 кот.)</t>
  </si>
  <si>
    <t>Міськводоканали 
м. Донецьк
м. Маріуполь,
м. Макіївка,
м. Слов'янськ,
м. Ясинувата</t>
  </si>
  <si>
    <t xml:space="preserve">Реконструкція котелень з переведенням на електроенергію </t>
  </si>
  <si>
    <t>Перевод житлового масиву "Мичурінський" на індивідуальне електричне опалення.</t>
  </si>
  <si>
    <t>м. Новогродівка</t>
  </si>
  <si>
    <t>Впровадження теплових насосів 43 од.</t>
  </si>
  <si>
    <t xml:space="preserve">Модернізація котельні ЗОШ № 116 з заміною застарілих котлів НІІСТУ-5 на піролізні котли з використанням альтернативного вида палива деревної тріски      
                    </t>
  </si>
  <si>
    <t xml:space="preserve">Модернізація котельні ЗОШ № 106 з заміною застарілих котлів НІІСТУ-5 на піролізні котли з використанням альтернативного вида палива деревної тріски     
     </t>
  </si>
  <si>
    <t xml:space="preserve">Модернізація котельні з заміною застарілих котлів НІІСТУ-5 на піролізні котли з використанням альтернативного вида палива деревної тріски
</t>
  </si>
  <si>
    <t xml:space="preserve">Модернізація котельні СЕС з заміною застарілих котлів НІІСТУ-5 на піролізні котли з використанням альтернативного вида палива деревної тріски
</t>
  </si>
  <si>
    <t xml:space="preserve">Модернізація котельні ВГРЧ  з заміною застарілих котлів НІІСТУ-5 на піролізні котли з використанням альтернативного вида палива деревної тріски
</t>
  </si>
  <si>
    <t xml:space="preserve">Впровадження технології з використанням теплових насосів ( реконструкція системи теплопостачання) дитячого садку «Оленка» </t>
  </si>
  <si>
    <t>м. Білозерське, вул. Московська</t>
  </si>
  <si>
    <t>План заходів до Програми енергоефективності Донецької області на 2010-2015 роки
2011-2015 роки</t>
  </si>
  <si>
    <t>Реформування системи управління житловим фондом мікрорайону "Західний" м. Артемівська з впровадженням енерго і ресурсозберігаючих технологій "Теплий будинок"</t>
  </si>
  <si>
    <t>Мікрорайон "Західний", м. Артемівськ</t>
  </si>
  <si>
    <t>2013-2015, у т.ч. по роках</t>
  </si>
  <si>
    <t>2012-2015, 
у т.ч. по роках</t>
  </si>
  <si>
    <t>№ п/п</t>
  </si>
  <si>
    <t>Місце впровадження</t>
  </si>
  <si>
    <t xml:space="preserve">Термін впровадження </t>
  </si>
  <si>
    <t>Вартість розробки і впровадження ЕЗЗТ та джерела фінансування</t>
  </si>
  <si>
    <t>в тому числі</t>
  </si>
  <si>
    <t>Нафта, нафто-продукти, тис. т</t>
  </si>
  <si>
    <t>Вугілля, тис. т</t>
  </si>
  <si>
    <t>Електро-енергія,                млн. кВт. год.</t>
  </si>
  <si>
    <t>Тепло-енергія,  тис. Гкал</t>
  </si>
  <si>
    <t>Інші види палива, тис. т у.п.</t>
  </si>
  <si>
    <t>А</t>
  </si>
  <si>
    <t>Б</t>
  </si>
  <si>
    <t>В</t>
  </si>
  <si>
    <t>тис. грн.**</t>
  </si>
  <si>
    <t>Код джерела фінансу-вання***</t>
  </si>
  <si>
    <t>Очікувана економія паливно-енергетичних ресурсів</t>
  </si>
  <si>
    <t xml:space="preserve">Найменування енергозберігаючого заходу та технології* </t>
  </si>
  <si>
    <t>Економія ПЕР,     
тис. т у.п.</t>
  </si>
  <si>
    <t>Вугільна промисловість</t>
  </si>
  <si>
    <t>Концентрація гірничого господарства</t>
  </si>
  <si>
    <t>ДП "Красноармійськвугілля",
ДП "ВК"Краснолиманська",
ВАТ "Шахта "Комсомолець Донбасу",
ОП "Шахта ім. О.Ф.Засядька",
Шахта "Новодзержинська"</t>
  </si>
  <si>
    <t>Реалізація виконання очисних та підготовчих робіт, зміна технології</t>
  </si>
  <si>
    <t>ДП "Добропіллявугілля",
ДП "Торезантрацит",
ДП "Артемвугілля",
ДП "Шахтарськантрацит",
ДП "Сніжнеантрацит",
ВАТ "ВК"Шахта"Красноармійська-Західна № 1"</t>
  </si>
  <si>
    <t>3.1</t>
  </si>
  <si>
    <t>Вентиляційних</t>
  </si>
  <si>
    <t>3.2</t>
  </si>
  <si>
    <t>Удосконалення системи теплопостачання</t>
  </si>
  <si>
    <t>Утилізація тепла</t>
  </si>
  <si>
    <t>ДП "Артемвугілля"</t>
  </si>
  <si>
    <t>Впровадження теплових насосів</t>
  </si>
  <si>
    <t>Удосконалення роботи електротехнічного обладнання</t>
  </si>
  <si>
    <t>ДП "Добропіллявугілля",
ДП "Артемвугілля",
ДП "ДВЕК",
ВАТ "ВК"Шахта"Красноармійська-Західна № 1",
ДП "ВК"Краснолиманська",
Шахтоуправління "Донбас",
Шахта "Новодзержинська"</t>
  </si>
  <si>
    <t>Удосконалення систем обліку енергоносіїв</t>
  </si>
  <si>
    <t>Всього по галузі:</t>
  </si>
  <si>
    <t>Електроенергетика</t>
  </si>
  <si>
    <t>Реконструкція енергоблоків</t>
  </si>
  <si>
    <t>СО "Курахівська ТЕС"
ТОВ "Східенерго"</t>
  </si>
  <si>
    <t>2011-2015, 
у т.ч. по роках</t>
  </si>
  <si>
    <t>Блок № 7</t>
  </si>
  <si>
    <t>Блок № 8</t>
  </si>
  <si>
    <t>Блок № 6</t>
  </si>
  <si>
    <t>Блок № 9</t>
  </si>
  <si>
    <t>Блок № 4</t>
  </si>
  <si>
    <t>2012-2013, 
у т.ч. по роках</t>
  </si>
  <si>
    <t>Блок № 3</t>
  </si>
  <si>
    <t>Монтаж системи кулькового очищення конденсаторів "А,Б"</t>
  </si>
  <si>
    <t>Старобешівська ТЕС 
ВАТ "Донбасенерго"</t>
  </si>
  <si>
    <t>Додаток 6 
до Програми, затвердженої рішенням обласної ради 
від 03.09.2010 № 5/30-929 (в редакції рішення обласної ради від ______________ № ______________________)</t>
  </si>
  <si>
    <t>2011-2014, 
у т.ч. по роках</t>
  </si>
  <si>
    <t>Слов'янська ТЕС 
ВАТ "Донбасенерго"</t>
  </si>
  <si>
    <t>2011-2012, 
у т.ч. по роках</t>
  </si>
  <si>
    <t>Заміна кубів трубчастого повітропідігрівника</t>
  </si>
  <si>
    <t>Заміна лопаток ЦНТ турбіни</t>
  </si>
  <si>
    <t>Заміна пакетів водяного економайзера</t>
  </si>
  <si>
    <t>Заміна валу сушильно-розмельної системи</t>
  </si>
  <si>
    <t>2011-2013, 
у т.ч. по роках</t>
  </si>
  <si>
    <t>№ 1</t>
  </si>
  <si>
    <t>№ 2</t>
  </si>
  <si>
    <t>№ 3</t>
  </si>
  <si>
    <t>Заміна конвективного пароперегрівача високого тиску на корпусі 7Б блоку № 7</t>
  </si>
  <si>
    <t>2012-2014, 
у т.ч. по роках</t>
  </si>
  <si>
    <t>Заміна ширмового пароперегрівача 1-3 ступенів та КПП низького тиску І ступені на корпусі 7А</t>
  </si>
  <si>
    <t>Номенклатурний ремонт турбіни з розкриттям циліндрів високого та середнього тиску</t>
  </si>
  <si>
    <t>2013-2015, 
у т.ч. по роках</t>
  </si>
  <si>
    <t>ВАТ "ПЕМ-Енерговугілля"</t>
  </si>
  <si>
    <t>Впровадження обліку споживання електричної енергії населенням</t>
  </si>
  <si>
    <t>ДП "Регіональні електричні мережі" 
Донецька філія</t>
  </si>
  <si>
    <t>Заміна силових трансформаторів на підстанціях</t>
  </si>
  <si>
    <t>ТОВ "Сервіс-Інвест"</t>
  </si>
  <si>
    <t>Організаційно-технічні заходи щодо зниження технологічних витрат електроенергії</t>
  </si>
  <si>
    <t>ВАТ "Донецькобленерго"</t>
  </si>
  <si>
    <t>ТОВ "Краматорськтеплоенерго"</t>
  </si>
  <si>
    <t>Вуглегірська ТЕС</t>
  </si>
  <si>
    <t>Газопостачання</t>
  </si>
  <si>
    <t>ВАТ "Донецькоблгаз"</t>
  </si>
  <si>
    <t>2011-2015, у т.ч. по роках</t>
  </si>
  <si>
    <t>Заміна централізованого опалення на автономне</t>
  </si>
  <si>
    <t>Заміна котлів на більш економічні з ККД не менш 90% (згідно з проектом замість 10 шт.)</t>
  </si>
  <si>
    <t xml:space="preserve">ВАТ "Донецькміськгаз" </t>
  </si>
  <si>
    <t>Заміна ліхтарів на більш економічні (15 од. на рік)</t>
  </si>
  <si>
    <t>Заміна застарілого газовикористовуючого обладнання на сучасні з високим ККД газові опалювальні прилади</t>
  </si>
  <si>
    <t>ВАТ "Макіївкагаз"</t>
  </si>
  <si>
    <t>Організаційно-технічні заходи (впровадження приладів діагностики тощо)</t>
  </si>
  <si>
    <t>Чорна металургія і коксохімія</t>
  </si>
  <si>
    <t>ВАТ "МК "Азовсталь"
м. Маріуполь</t>
  </si>
  <si>
    <t>Впровадження імпульсних режимів сушки та розігріву сталерозливочних ковшів у мартенівському виробництві</t>
  </si>
  <si>
    <t>Переобладнання 1-3 зон нагрівальної печі прокатного стану 150 на споживання коксового газу</t>
  </si>
  <si>
    <t>Заміна мартенівського способу виплавки сталі на електросталеплавильний</t>
  </si>
  <si>
    <t>ЗАТ 
"Донецьксталь"-МЗ" 
філія "Металургійний 
комплекс" 
м. Донецьк</t>
  </si>
  <si>
    <t>Реконструкція агрегату 
№ 8 у СДП-1</t>
  </si>
  <si>
    <t>ПрАТ "Донецький електрометалургійний завод"</t>
  </si>
  <si>
    <t>Впровадження фільтрокомпенсуючого пристрою на ЗРП-35 кВ</t>
  </si>
  <si>
    <t>Реконструкція освітлення приміщень цехів з впровадженням енергозберігаючих ламп</t>
  </si>
  <si>
    <t>ВАТ "Артемівський завод з обробки кольорових металів"</t>
  </si>
  <si>
    <t>ВАТ "Красноармійський динасовий завод"</t>
  </si>
  <si>
    <t>ЗАТ 
"Макіївкокс"</t>
  </si>
  <si>
    <t>ОКП "ДТКЕ",
ККП "Маріупольтепломережа"
ККП "Донецькміськтепломережа"</t>
  </si>
  <si>
    <t>у т.ч.</t>
  </si>
  <si>
    <t>Впровадження частотних перетворювачів на обладнанні обертових печей №№ 6-8</t>
  </si>
  <si>
    <t>Впровадження інфрачервоного опалення в цехах заводу</t>
  </si>
  <si>
    <t>Впровадження частотного електроприводу</t>
  </si>
  <si>
    <t>Збільшення обсягів виробництва невипалених та неформованих вогнетривів за рахунок переобладнання ліній виробництва</t>
  </si>
  <si>
    <t>Заміна газової цементаційної печі РМЦ на електричну піч "Термо-майстер"</t>
  </si>
  <si>
    <t>Впровадження сучасних автоматичних пристроїв з компенсації реактивної енергії</t>
  </si>
  <si>
    <t>Модернізація тунельних сушарок</t>
  </si>
  <si>
    <t>Впровадження автоматичної системи комерційного обліку електроенергії</t>
  </si>
  <si>
    <t>Впровадження автоматичної системи комерційного обліку природного газу</t>
  </si>
  <si>
    <t>Впровадження гвинтових компресорів</t>
  </si>
  <si>
    <t>Капітальний ремонт котла утилізатора (2 кот.)</t>
  </si>
  <si>
    <t>Капітальний ремонт парового котла (3 од.)</t>
  </si>
  <si>
    <t>Капітальний ремонт турбогенератора ст. № 9</t>
  </si>
  <si>
    <t>Впровадження частотних перетворювачів на електроприладах</t>
  </si>
  <si>
    <t>Організаційно-технічні заходи (ремонт футеровок та ізоляції, ремонт та налогодження котельних агрегатів тощо)</t>
  </si>
  <si>
    <t>Модернізація енергетичного устаткування печі ДСП-2  (впровадження сучасних газокисневих пальників)</t>
  </si>
  <si>
    <t>Впровадження кисневого блоку</t>
  </si>
  <si>
    <t>Машинобудування</t>
  </si>
  <si>
    <t>Впровадження прогресивних технологій, матеріалів, обладнання</t>
  </si>
  <si>
    <t>Реконструкція кисневого виробництва</t>
  </si>
  <si>
    <t>Реконструкція компресорної станції стислого повітря</t>
  </si>
  <si>
    <t>2011-2012, у т.ч. по роках</t>
  </si>
  <si>
    <t>Хімічна промисловість</t>
  </si>
  <si>
    <t>Реконструкція агрегату "Карбамід-2" з нарощуванням до 2000 тн/добу за плавом</t>
  </si>
  <si>
    <t>Реконструкція агрегатів УКЛ-7 виробництва азотної кислоти із заміною ГТТ-3М на ГТУ-8</t>
  </si>
  <si>
    <t xml:space="preserve">Реконструкція градирень </t>
  </si>
  <si>
    <t>Розробка робочого проекту будівництва малої гідроелектростанції на Павлопольскому водосховищі КП "Компанія "Вода Донбасу"</t>
  </si>
  <si>
    <t>Промисловість будівельних матеріалів</t>
  </si>
  <si>
    <t>Переведення обертових печей №№ 3-6 на вугільне паливо</t>
  </si>
  <si>
    <t>ПАО "ХайдельбергЦемент Україна" 
Амвросіївська філія</t>
  </si>
  <si>
    <t>Реконструкція цементних мельниц №№ 3-6</t>
  </si>
  <si>
    <t>Будівництво установки по виготовленню та дозованої подачі раствору ЛСТ</t>
  </si>
  <si>
    <t>2011-2013,
у т.ч. по роках</t>
  </si>
  <si>
    <t>Встановлення систем конденсаторного пуску та систем наявності та обліку витрат дизельного палива типу “БІС-Р”</t>
  </si>
  <si>
    <t>Впровадження автоматизованого та автоматичного управління зовнішнім освітленням</t>
  </si>
  <si>
    <t>Реконструкція системи опалення</t>
  </si>
  <si>
    <t>2011-2015, 
у т. ч. по роках</t>
  </si>
  <si>
    <t>Сільське господарство</t>
  </si>
  <si>
    <t>Підприємства 
агропромислового комплексу</t>
  </si>
  <si>
    <t>філія ВАТ "Євроцемент-Україна -
Краматорський цементний завод-Пушка",
м. Краматорськ</t>
  </si>
  <si>
    <t>КП "Міжнародний аеропорт Донецьк"</t>
  </si>
  <si>
    <t>Харчова та переробна промисловість</t>
  </si>
  <si>
    <t>АТ "Кондитерська фабрика "А.В.К.", 
м. Донецьк</t>
  </si>
  <si>
    <t>Житлово-комунальне господарство</t>
  </si>
  <si>
    <t>Теплове господарство</t>
  </si>
  <si>
    <t>Підприємства комунальної теплоенергетики</t>
  </si>
  <si>
    <t>4 од.</t>
  </si>
  <si>
    <t>Впровадження перетворювачів частоти струму,  20 од.</t>
  </si>
  <si>
    <t>Заміна насосів та насосних агрегатів,               162 од.</t>
  </si>
  <si>
    <t>7 кот</t>
  </si>
  <si>
    <t xml:space="preserve"> </t>
  </si>
  <si>
    <t>Реконструкція котелень  з впровадженням когенераційних установок</t>
  </si>
  <si>
    <t>Впровадження ППУ ізоляції на теплових мережах 777км</t>
  </si>
  <si>
    <t>ЗАТ "Горлівськтепломережа",
КП "Красноармійськтепломережа"</t>
  </si>
  <si>
    <t>Встановлення приладів обліку теплової енергії 31 од.</t>
  </si>
  <si>
    <t>Впровадження  ІТП у споживачів, заміна внутрішніх мереж ГВП житлових будинків 
(175 од.)</t>
  </si>
  <si>
    <t>Реконструкція теплових мереж з впровадженням труб ізофлекс та касафлекс 125 км</t>
  </si>
  <si>
    <t>Всього по підгалузі:</t>
  </si>
  <si>
    <t>Водопровідно-каналізаційне господарство</t>
  </si>
  <si>
    <t>Заміна масляних вимикачів на вакуумні.
 В/в-36 од, КНС-19 од, ДОС-18 од.</t>
  </si>
  <si>
    <t>Впровадження модульних котелень для локального теплозабезпечення</t>
  </si>
  <si>
    <t>КВП "Краматорський водоканал"</t>
  </si>
  <si>
    <t>Заміна водопровідних  мереж 175 км</t>
  </si>
  <si>
    <t>35 км</t>
  </si>
  <si>
    <t>КП "Донецькміськводоканал", 
КП "Маріупольське ВУВКГ</t>
  </si>
  <si>
    <t xml:space="preserve">Реконструкція очисних споруд з встановленням сучасного обладнання </t>
  </si>
  <si>
    <t>КП "Ясинуватське ВУВКГ"</t>
  </si>
  <si>
    <t xml:space="preserve">Реконструкція насосних станцій з встановленням сучасного енергообладнання </t>
  </si>
  <si>
    <t xml:space="preserve">Впровадження технології залучення біогазу з виробленням тепла і електроенергії на очисних спорудах </t>
  </si>
  <si>
    <t>Оптимізація системи водопостачання міста (впровадження автоматизованої системи контролю та управління основними процесами)</t>
  </si>
  <si>
    <t>Інші підприємства житлово-комунального господарства</t>
  </si>
  <si>
    <t>Реконструкція енергетичного обладнання тягових підстанцій, оновлення рухомого складу</t>
  </si>
  <si>
    <t>Підприємства міськелектротранспорту області</t>
  </si>
  <si>
    <t>Реконструкція зовнішнього освітлення</t>
  </si>
  <si>
    <t xml:space="preserve">Модернізація котельні філіалу ЗОШ № 106 з заміною застарілих котлів НІІСТУ-5 на піролізні котли з використанням альтернативного вида палива деревної тріски
</t>
  </si>
  <si>
    <t>Впровадження теплонасосної установки тепловою потужністю 16 кВт (реконструкція системи гарячого водопостачання) для інтернату №5  в м.  Донецьк, вул. Лісна, 1А.</t>
  </si>
  <si>
    <t>Підприємства зовнішнього освітлення області</t>
  </si>
  <si>
    <t>2*</t>
  </si>
  <si>
    <t>Комплексна модернізація та реконструкція каналу Сіверський Донець-Донбас</t>
  </si>
  <si>
    <t>Реконструкція насосних станцій міжрайонного призначення</t>
  </si>
  <si>
    <t>2011-2013, у т.ч. по роках</t>
  </si>
  <si>
    <t>Реконструкція насосних станцій з заміною обладнання</t>
  </si>
  <si>
    <t>Заміна та капітальний ремонт водопровідних мереж і споруд</t>
  </si>
  <si>
    <t>КП "Компанія "Вода Донбасу"</t>
  </si>
  <si>
    <t>Бюджетні установи області</t>
  </si>
  <si>
    <t>Обласний бюджет</t>
  </si>
  <si>
    <t>Заміна віконних та дверних блоків на пластикові                         Місцевий бюджет</t>
  </si>
  <si>
    <t>Проведення енергоаудиту        Місцевий бюджет</t>
  </si>
  <si>
    <t>Бюджетні установи та організації</t>
  </si>
  <si>
    <t>Місцевий бюджет</t>
  </si>
  <si>
    <t>Використання нетрадіційних та відновлюваних джерел</t>
  </si>
  <si>
    <t>Будівництво Новоазовської ВЕС</t>
  </si>
  <si>
    <t>Новоазовський р-н,
с. Безіменне</t>
  </si>
  <si>
    <t>ДП "Макіїввугілля",
ДП "Красноармійськвугілля",
ВАТ "ВК"Шахта "Красноармійська-Західна № 1",
Шахтоуправління "Донбас"</t>
  </si>
  <si>
    <t>Використання технології низькопотенційних відновлюваних джерел енергії - теплові насоси</t>
  </si>
  <si>
    <t>Заміна електрокотла на піролізний котел</t>
  </si>
  <si>
    <t>Бахчовицька ЗОШ, Тельманівський район</t>
  </si>
  <si>
    <t>2011 - 2015, 
у т.ч. по рокам</t>
  </si>
  <si>
    <t>Всього:</t>
  </si>
  <si>
    <t>Реконструкція котелень з впровадженням технологій електроопалення</t>
  </si>
  <si>
    <t>Використання геотермального теплового насосу</t>
  </si>
  <si>
    <t>Встановлення повітряних генераторів електричного струму (100 кВт/год)</t>
  </si>
  <si>
    <t>Мангушська селищна рада</t>
  </si>
  <si>
    <t>Пілотні проекти</t>
  </si>
  <si>
    <t>д\с "Вишеньки"                     
м. Кіровське</t>
  </si>
  <si>
    <t>Всього по Програмі:</t>
  </si>
  <si>
    <t>Водоканали міст Донецьк, Макіївка, Харцизьк, Красноармійськ</t>
  </si>
  <si>
    <t>Заміна набивки регенеративного повітропідігрівача на корпусі 7Б</t>
  </si>
  <si>
    <t>Впровадження приладів обліку природного газу</t>
  </si>
  <si>
    <t>ВАТ "Маріупольский 
металургійний комбінат ім. Ілліча"</t>
  </si>
  <si>
    <t>ТОВ "Сілур" 
м. Харцизьк</t>
  </si>
  <si>
    <t>Заміна газонагрівальної печі пресу 2500 на індукційну пічь</t>
  </si>
  <si>
    <t>ВАТ "Красноармійський динасовий завод",
м. Красноармійськ</t>
  </si>
  <si>
    <t>Впровадження пальників з автоматичним процесом сушки</t>
  </si>
  <si>
    <t>ВАТ "Пантелеймонівський вогнетривкий завод" 
м. Горлівка</t>
  </si>
  <si>
    <t>ВАТ "Часівоярський вогнетривкий комбінат",
м. Часів Яр</t>
  </si>
  <si>
    <t>ВАТ "Авдіївський коксохімічний завод",
м. Авдіївка</t>
  </si>
  <si>
    <t>Капітальний ремонт башенної градирні № 1</t>
  </si>
  <si>
    <t>ЗАТ "Макіївкокс",
м. Макіївка</t>
  </si>
  <si>
    <t xml:space="preserve">Впровадження енергозберігаючих світильників </t>
  </si>
  <si>
    <t>Монтаж автономного опалення</t>
  </si>
  <si>
    <t>ЗАТ "Горлівський машинобудівний завод",
м. Горлівка</t>
  </si>
  <si>
    <t>ВАТ "Горлівський машинобудівний завод",
м. Горлівка</t>
  </si>
  <si>
    <t>Монтаж водогрійного котла</t>
  </si>
  <si>
    <t>Сніжнянський машинобудівний завод 
ВАТ "Мотор Січ",  м. Сніжне</t>
  </si>
  <si>
    <t>Реконструкція опалювальних печей</t>
  </si>
  <si>
    <t>ВАТ "Енергомашспецсталь",
м. Краматорськ</t>
  </si>
  <si>
    <t>ВАТ "Дружківський машинобудівний завод",
м. Дружківка</t>
  </si>
  <si>
    <t>ЗАТ "Новокраматорський машинобудівний завод",
м. Краматорськ</t>
  </si>
  <si>
    <t>Впровадження волокнистої енергозберігаючої футеровки печі 
СШЦМ 6.12/9</t>
  </si>
  <si>
    <t xml:space="preserve">Впровадження енергозберігаючого зварювального обладнання. </t>
  </si>
  <si>
    <t>ВАТ  "Ясиноватський машинобудівний завод",
м. Ясинувата</t>
  </si>
  <si>
    <t>Створення індивідуального джерела забезпечення паром у розмірі 2 тн/г</t>
  </si>
  <si>
    <t>Впровадження цеолітового очищення синтез-газу на заводі №1</t>
  </si>
  <si>
    <t>Встановлення теплообмінника та котла-утилізатора для підігрівання живильної води при виробництві пара 105 ат на другій ступені конверсії СО в ОАЗ та заводі №1</t>
  </si>
  <si>
    <t>Реконструкція парового приводу компресору Р-901 ОЗК-1 з метою збільшення ККД</t>
  </si>
  <si>
    <t>Будівництво когенераційної електростанції 25 МВт                
(ІІ черга)</t>
  </si>
  <si>
    <t>ВАТ "Концерн Стирол",
м. Горлівка</t>
  </si>
  <si>
    <t>ДП "Донецька залізниця"</t>
  </si>
  <si>
    <t>Заміна тягових агрегатів на нові з 12-пульсовою схемою випрямлення</t>
  </si>
  <si>
    <t>Модернізація газових котлів, заміна пальників та заміна пальникових пристроїв</t>
  </si>
  <si>
    <t>13.1</t>
  </si>
  <si>
    <t>13.2</t>
  </si>
  <si>
    <t>13.3</t>
  </si>
  <si>
    <t>13.4</t>
  </si>
  <si>
    <t>39.1</t>
  </si>
  <si>
    <t>39.2</t>
  </si>
  <si>
    <t>40.1</t>
  </si>
  <si>
    <t>48.1</t>
  </si>
  <si>
    <t>67.1</t>
  </si>
  <si>
    <t>67.2</t>
  </si>
  <si>
    <t>79.1</t>
  </si>
  <si>
    <t>79.2</t>
  </si>
  <si>
    <t>156.1</t>
  </si>
  <si>
    <t>157.1</t>
  </si>
  <si>
    <t>7.1</t>
  </si>
  <si>
    <t>7.2</t>
  </si>
  <si>
    <t>7.3</t>
  </si>
  <si>
    <t>7.4</t>
  </si>
  <si>
    <t>Оновлення основних фондів - впровадження сучасного рухомого складу з меншими енерговитратами (2011р.-20ваг., 2012р.-50ваг., 2013р.- 50ваг., 2014р.-50ваг., 2015р.-20ваг.)</t>
  </si>
  <si>
    <t>Переведення пасажирських вагонів з твердого палива на електроопалення</t>
  </si>
  <si>
    <t>Впровадження приводу частотного регулювання</t>
  </si>
  <si>
    <t xml:space="preserve">Реновація магістральних мереж енергопостачання ПС «Порт» -  
 ТП 3 і ПС «Порт»-ТП 11
</t>
  </si>
  <si>
    <t>Організаційно-технічні заходи (підвищення ефективності утилізації відходів очищення нафтовмісних вод на котельні дільниці теп-лопостачання порту, автоматичний контроль на автономних вентиляторних теплообмінниках, впровадження системи автоматиного обліку і контролю споживання електричної енергії тощо)</t>
  </si>
  <si>
    <t>Транспорт та зв'язок</t>
  </si>
  <si>
    <t>Впровадження енергозберігаючих заходів (модернізація тракторів, заміна електричних двигунів, встановлення приладів обліку енергоносіїв тощо)</t>
  </si>
  <si>
    <t>Виробництво біогазу з органічних відходів</t>
  </si>
  <si>
    <t xml:space="preserve">Бюджетні установи
м. Краматорськ </t>
  </si>
  <si>
    <t xml:space="preserve">Впровадження електрокотлів і інфрачервоних обігрівачів </t>
  </si>
  <si>
    <t>На об'єктах СБО м. Маріуполь</t>
  </si>
  <si>
    <t>Реконструкція котелень з впровадженням високоефективних котлів з ККД більше 90% - 376 од.</t>
  </si>
  <si>
    <t>Реконструкція котелень та ЦТП з впровадженням енергозберігаючих пристроїв та устаткування (551 од.)</t>
  </si>
  <si>
    <t>Впровадження високоефективних пальників на котлах (струмонішових, з турбулізаторами та інш.)
(382 од.)</t>
  </si>
  <si>
    <t>Диспетчеризація та автоматизація  джерел теплопостачання</t>
  </si>
  <si>
    <t>Переведення електродугової печі ДСП - 12 з змінного струму на постійний</t>
  </si>
  <si>
    <t>Адмінбудинок КП "Маріупольське ВУВКГ"
м. Маріуполь</t>
  </si>
  <si>
    <t>Реконструкція пилогазових пальників</t>
  </si>
  <si>
    <t>Впровадження імпульсного режиму опалення обертових  вапняно-обжигових</t>
  </si>
  <si>
    <t>Заміна охолоджувачів вапна обертових печей на охолоджувачі вапна з удосконаленням повітряно-розподільчої насадки</t>
  </si>
  <si>
    <t>ЗАТ 
"Єнакіївський коксохімпром"</t>
  </si>
  <si>
    <t>Впровадження індивідуального опалення в цехах заводу</t>
  </si>
  <si>
    <t>ЗАТ 
"Єнакіївський коксохімпром",
м. Єнакієве</t>
  </si>
  <si>
    <t>Впровадження систем місцевого опалення (інфрачервоні пальники)</t>
  </si>
  <si>
    <t>Придбання та монтаж повітряно-гвинтових компресорів (5 од.)</t>
  </si>
  <si>
    <t>Виробництво метанолу шляхом контактування газової суміші, що містить оксид вуглецю та водень, потужністю 100 тис. тн/рік</t>
  </si>
  <si>
    <t>ДП "Маріупольский морський 
торговельний порт"</t>
  </si>
  <si>
    <t>КП "Тепломережа" 
м. Донецьк</t>
  </si>
  <si>
    <t>КП "Донецькміськводоканал",  
Ясинуватське ВУВКГ</t>
  </si>
  <si>
    <t>Використання шахтного метану як палива</t>
  </si>
  <si>
    <t>Будівництво комплексу з виготовлення та вдування пиловугільного палива у горни доменних печей</t>
  </si>
  <si>
    <t xml:space="preserve">Реконструкція аглофабрики із збільшенням продуктивності                                                                                                                                                                                       </t>
  </si>
  <si>
    <t>ККП "Маріупольтепломережа",
КП "Тепломережа", м. Донецьк</t>
  </si>
  <si>
    <t>Впровадження приладів обліку електроенергії та відключення 60 вантажних лифтів</t>
  </si>
  <si>
    <t xml:space="preserve"> - </t>
  </si>
  <si>
    <t>Монтаж приладів економного використання електроенергії КС5С</t>
  </si>
  <si>
    <t>Впровадження приладів обліку теплової енергії</t>
  </si>
  <si>
    <t xml:space="preserve">Утеплення фасадів житлових будинків </t>
  </si>
  <si>
    <t>Житлове господарство</t>
  </si>
  <si>
    <t xml:space="preserve">Виробництво та споживання біогазу для відновлення тепличного господарства </t>
  </si>
  <si>
    <t>смт. Ларине м. Донецьк;
АТЗТ "Екопрод"
Волноваський район</t>
  </si>
  <si>
    <t>ДП "Макіїввугілля",
ДП "Добропіллявугілля",
ДП "Торезантрацит",                                                                                  ДП "Красноармійськвугілля",
ДП "Артемвугілля",
ДП "Сніжнеантрацит",
ДП "ДВЕК",
Шахта "Новодзержинська",
Шахта "Путилівська"</t>
  </si>
  <si>
    <t>Реконструкція                                            ПЛ 35-110кВ</t>
  </si>
  <si>
    <t>Заміна ламп розжарювання на енергоощадні лампи                                   (185 од. на рік)</t>
  </si>
  <si>
    <t>Впровадження високоефективних катодних станцій                                  (2 од. на рік)</t>
  </si>
  <si>
    <t>Реконструкція стану                                                          ЛПЦ-1700</t>
  </si>
  <si>
    <t>Переведення живлення ПС202 і ПС202А з ПС "Кіснева-100" на ПС "Істіл-110"</t>
  </si>
  <si>
    <t xml:space="preserve">у т.ч. Проведення модернізації котельні 138 кварталу по вул. Кальміуська,99 з заміною котлів на високоефективні багатопаливні котли з ККД не нижче 91%, реконструкція (I черга), м. Маріуполь
</t>
  </si>
  <si>
    <t xml:space="preserve">Впровадження когенераційної установки на котельні ЖМР-16 
по вул. К. Лібкнехта, 185, реконструкція, 
м. Маріуполь
</t>
  </si>
  <si>
    <t>ККП "Маріупольтепломережа"</t>
  </si>
  <si>
    <t>Впровадження технології з використанням електричного теплоакумуляційного обігріву в будівлі  дитячого садку: 87651, с. Саханка, вул. Конституції 5, Новоазовського району (Реконструкція).</t>
  </si>
  <si>
    <t>Впровадження технології з використанням електричного теплоакумуляційного обігріву в будівлі Саханської ЗОШ І-ІІІ ступеню: 87651, с. Саханка, вул. Вартазарової 4, Новоазовського району,  (Реконструкція).</t>
  </si>
  <si>
    <t xml:space="preserve">Впровадження технології з використанням електричного теплоакумуляційного обігріву в будівлі учбового корпусу Безіменської ЗОШ І-ІІІ ступеню: 87660, с. Безіменне, вул. Миру, 19а, Новоазовського району, (Реконструкція). </t>
  </si>
  <si>
    <t>Впровадження технології з використанням електричного теплоакумуляційного обігріву в будівлі Самойлівської ЗОШ І-ІІІ ступеню: 87630, с. Самойлове, вул. Чернишевського 20, Новоазовського                               району, (Реконструкція).</t>
  </si>
  <si>
    <t>Впровадження технології з використанням електричного теплоакумуляційного обігріву в будівлі Гусельщіковської ЗОШ І-ІІІ ступеню: 87606, с. Гусельщікове, вул. Шкільна, 3,  Новоазовського району, (Реконстркуція).</t>
  </si>
  <si>
    <t xml:space="preserve">Впровадження технології з використанням електричного теплоакумуляційного обігріву в будівлі учбового корпусу Гусельщіковської ЗОШ I-III ступеню: 87606, с. Гусельщікове, вул. Шкільна, 2,  Новоазовського району, (Реконструкція). </t>
  </si>
  <si>
    <t>Впровадження теплонасосної установки тепловою потужністю 111 кВт (реконструкція системи гарячого водопостачання) для міської психоневрологічної лікарні (МПНЛ2) в                             м. Донецьк, вул. Рудчанська, буд. 1.</t>
  </si>
  <si>
    <t>Впровадження теплонасосної установки тепловою потужністю 111 кВт (реконструкція системи гарячого водопостачання) для обласної травмотологічної лікарні (ОТЛ) в                                                            м. Донецьк, вул. Артема, буд. 106 Б.</t>
  </si>
  <si>
    <t>Впровадження технології низькопотенційних відновлювальних джерел енергії - тепловий насос, геліополе та латентний акумулятор тепла для гарячого водопостачання на котельні міськлікарні № 3 по пр. Леніна, 80, реконструкція, м. Маріуполь</t>
  </si>
  <si>
    <t>Впровадження теплонасосної установки тепловою потужністю 18,5 кВт (реконструкція системи гарячого водопостачання) для інтернату № 8 в м. Донецьк, просп. Червоногвардійський, 1А.</t>
  </si>
  <si>
    <t>м. Донецьк, вул. Самарська
КП "Тепломережа", м. Донецьк</t>
  </si>
  <si>
    <t>м. Донецьк, вул. Серафімовича 
КП "Тепломережа", м. Донецьк</t>
  </si>
  <si>
    <t>м. Донецьк, вул. 5-го грудня
КП "Тепломережа", м. Донецьк</t>
  </si>
  <si>
    <t>м. Донецьк, вул. Макіївська, 4
КП "Тепломережа", м. Донецьк</t>
  </si>
  <si>
    <t>м. Донецьк , вул. Жовтня, 43
КП "Тепломережа", м. Донецьк</t>
  </si>
  <si>
    <t>м. Донецьк, вул. Юмашева, 85
КП "Тепломережа", м. Донецьк</t>
  </si>
  <si>
    <t>Реконструкція пальникових пристроїв у комплексі з локальними АСУ основних технологічних агрегатів</t>
  </si>
  <si>
    <t>Реконструкція І черги станції з впровадженням               2-х котлів ЦКШ з турбиною потужністю                                                  125 МВт</t>
  </si>
  <si>
    <t xml:space="preserve">Впровадження сатурації та подачі збагаченного кисенем повітря в цеху 1-Б </t>
  </si>
  <si>
    <t>ВАТ "Концерн Стирол"                                                           м. Горлівка</t>
  </si>
  <si>
    <t>Заміна світильників зовнішнього освітлення станцій на енергозберігаючі</t>
  </si>
  <si>
    <t>Житлові організації                                                                                   м. Донецьк</t>
  </si>
  <si>
    <t>Житлові організації                                                                                                                                м. Донецьк</t>
  </si>
  <si>
    <t xml:space="preserve"> Реконструкція котелень та теплових пунктів з впровадженням частотних перетворювачів                                             (431 од,)</t>
  </si>
  <si>
    <t xml:space="preserve">КЛПУ "Станція швидкої допомоги", 
м. Новогродівка,
ДНЗ № 1 м. Вугледар,
ЗОШ № 3, ЗОШ № 7, ДНЗ № 6, ЦМЛ, Центр культури та дозвілля, Школа містецтв 
м. Дебальцеве,                                                    
 "Полікліника № 6" м. Єнакієве,                                                         </t>
  </si>
  <si>
    <t xml:space="preserve">Відділ освіти м. Добропілля,
Лебединська ЗОШ І-ІІІ ст., ДНЗ № 3, ЦРЛ Новоазовський район,
Мангушська ЗОШ № 1, Першетравневий район     </t>
  </si>
  <si>
    <t>Реконструкція котелень  з впровадженням утилізаторів теплоти димових газів  (168 од.)</t>
  </si>
  <si>
    <t>ОКП "ДТКЕ",                                                                          КП "Тепломережа"                                                                           м. Донецьк</t>
  </si>
  <si>
    <t>2011-2015,                                                                                                                             у т. ч. по роках</t>
  </si>
  <si>
    <t>2011-2014, 
у т. ч. по роках</t>
  </si>
  <si>
    <t>2013-2014,                                                                      у т.ч. по роках</t>
  </si>
  <si>
    <t>2012-2013,                                                              у т.ч. по роках</t>
  </si>
  <si>
    <t>2011-2014,                                                                       у т.ч. по роках</t>
  </si>
  <si>
    <t>2011-2015,                                                                                  у т.ч. по роках</t>
  </si>
  <si>
    <t>2011-2015,                                                                                   у т.ч. по роках</t>
  </si>
  <si>
    <t>2011-2015,                                                          у т.ч. по роках</t>
  </si>
  <si>
    <t>2011-2015,                                                                     у т.ч. по роках</t>
  </si>
  <si>
    <t>2011-2015,                                                                    у т.ч. по роках</t>
  </si>
  <si>
    <t>2011-2015,                                                                           у т.ч. по роках</t>
  </si>
  <si>
    <t>2011-2015,                                                                       у т.ч. по роках</t>
  </si>
  <si>
    <t>2011-2014,                                                                        у т.ч. по роках</t>
  </si>
  <si>
    <t>2011-2015,                                                   у т.ч. по роках</t>
  </si>
  <si>
    <t>2011-2015,                                                             у т.ч. по роках</t>
  </si>
  <si>
    <t>2012-2013,                                                                          у т.ч. по роках</t>
  </si>
  <si>
    <t>2013-2014,                                                   у т.ч. по роках</t>
  </si>
  <si>
    <t>2011-2012,                                                у т.ч. по роках</t>
  </si>
  <si>
    <t>2011-2012,                                               у т.ч. по роках</t>
  </si>
  <si>
    <t>2012-2015,                                                        у т.ч. по роках</t>
  </si>
  <si>
    <t>2011-2015,                                                    у т.ч. по роках</t>
  </si>
  <si>
    <t>2011-2015,                                                           у т.ч. по роках</t>
  </si>
  <si>
    <t>2013-2015,                                                    у т.ч. по роках</t>
  </si>
  <si>
    <t xml:space="preserve"> 2011-2012,                                               у т.ч. по роках</t>
  </si>
  <si>
    <t>2011-2015,                                                            у т.ч. по роках</t>
  </si>
  <si>
    <t>2011-2015,                                                   у т. ч. по роках</t>
  </si>
  <si>
    <t>2011-2015,                                    у т. ч. по роках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</si>
  <si>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</si>
  <si>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Організаційно-технічні заходи (реконструкція системи опалення, заміна лічильників електоенергії, утеплення підвальних приміщень, проведення щоденного моніторингу споживання енергетичних ресурсів, заміна котлів на сучасні, реконструкція системи холодного водопостачання, водовідведення та ін.)</t>
  </si>
  <si>
    <t>Проектно-дослідницькі роботи, соціальна реклама, заходи щодо популяризації енергозбереження тощо</t>
  </si>
  <si>
    <t>2012-2015,                                     у т. ч. по роках</t>
  </si>
  <si>
    <t>2012-2015,                                    у т. ч. по роках</t>
  </si>
  <si>
    <t>2011-2015,                                     у т. ч. по роках</t>
  </si>
  <si>
    <t>2011-2014,                                     у т. ч. по роках</t>
  </si>
  <si>
    <t>2011-2012,                                     у т. ч. по роках</t>
  </si>
  <si>
    <t>2012-2014,                                    у т. ч. по роках</t>
  </si>
  <si>
    <t>2013-2014,                                     у т. ч. по роках</t>
  </si>
  <si>
    <t>2011-2014,                                         у т. ч. по роках</t>
  </si>
  <si>
    <t>Капітальний ремонт (санація) будівлі
Місцевий бюджет</t>
  </si>
  <si>
    <t>2011-2015,                                      у т. ч. по роках</t>
  </si>
  <si>
    <t>2011-2015,               
у т. ч. по роках</t>
  </si>
  <si>
    <t>2011-2015,                                              у т.ч. по роках</t>
  </si>
  <si>
    <t>2011-2015,                                             у т.ч. по роках</t>
  </si>
  <si>
    <t>2011-2015,                                                  у т.ч. по роках</t>
  </si>
  <si>
    <t>Встановлення модульних котелень, реконструкція котелень                                       Місцевий бюджет</t>
  </si>
  <si>
    <t>Переведення котелень з твердого палива на електроопалення                             Місцевий бюджет</t>
  </si>
  <si>
    <t>Впровадження автономного опалення                       Місцевий бюджет</t>
  </si>
  <si>
    <t>Встановлення приладів обліку (електроенергії, тепла, холодної води , гарячої води)                                          Місцевий бюджет</t>
  </si>
  <si>
    <t>Всього по бюджетним організаціям</t>
  </si>
  <si>
    <t xml:space="preserve">Закупівля електровозів постійного струму 2ЕЛ-4 (2011р.-4од., 2012р.-4од., </t>
  </si>
  <si>
    <t>2013р.-5од., 2014р.-5од., 2015р.-6од.)</t>
  </si>
  <si>
    <t>Впровадження автоматизованої системи обліку енергоресурсів</t>
  </si>
  <si>
    <t>ВАТ "ВК"Шахта"Красноармійська-Західна №1",
ДП "ВК"Краснолиманська",
Шахтоуправління "Донбас",
Шахта "Новодзержинська"</t>
  </si>
  <si>
    <t xml:space="preserve">Реконструкція електричної частини підстанцій на базі енергоефективного обладнання „Schneider Electric” </t>
  </si>
  <si>
    <t>Впровадження приладів обліку газу, електроенергії тощо</t>
  </si>
  <si>
    <t xml:space="preserve">Природний газ,                               млн. куб. м </t>
  </si>
  <si>
    <r>
      <t xml:space="preserve">Джерела фінансування: </t>
    </r>
    <r>
      <rPr>
        <sz val="8"/>
        <rFont val="Times New Roman"/>
        <family val="1"/>
      </rPr>
      <t>1 - державний бюджет; 2 - місцевий та обласний бюджет;  у т.ч.2* - обласний бюджет; 3 - власні кошти підприємств; 4 - інші джерела; 5 - разом.</t>
    </r>
  </si>
  <si>
    <t xml:space="preserve">Впровадження міні-котелень на ВНС та КНС </t>
  </si>
  <si>
    <t>Поліпшення якості питної води</t>
  </si>
  <si>
    <t>Заміна ламп на енергозберігаючі                         Місцевий бюджет</t>
  </si>
  <si>
    <t>Встановлення всесезонної гелеоустановки для підігріву води, сонячних волекторів, УФО                                                                 Місцевий бюджет</t>
  </si>
  <si>
    <t xml:space="preserve">Впровадження міні АТЗ </t>
  </si>
  <si>
    <t>Вартість зекономлених ПЕР, тис. грн.</t>
  </si>
  <si>
    <t>Оптимізація режиму і раціоналізація роботи технологічних установок, у т.ч.</t>
  </si>
  <si>
    <t xml:space="preserve">ДП "Макіїввугілля",
ДП "Добропіллявугілля",
ДП "Торезантрацит",
ДП "Красноармійськвугілля",
ДП "Артемвугілля",
ДП "Шахтарськантрацит",
ДП "Сніжнеантрацит",
ДП "Селидіввугілля",
ДП "ДВЕК",
ВАТ "Шахта"Комсомолець Донбасу",
Шахтоуправління "Південнодонбаське № 1",
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</si>
</sst>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0.0000"/>
    <numFmt numFmtId="183" formatCode="#,##0.00_р_."/>
    <numFmt numFmtId="184" formatCode="0.00;[Red]0.00"/>
    <numFmt numFmtId="185" formatCode="0.000;[Red]0.000"/>
    <numFmt numFmtId="186" formatCode="0.0000;[Red]0.0000"/>
    <numFmt numFmtId="187" formatCode="0.000_ ;\-0.000\ "/>
    <numFmt numFmtId="188" formatCode="#,##0.000&quot;р.&quot;"/>
    <numFmt numFmtId="189" formatCode="#,##0.000"/>
    <numFmt numFmtId="190" formatCode="0.00000"/>
    <numFmt numFmtId="191" formatCode="[$-FC19]d\ mmmm\ yyyy\ &quot;г.&quot;"/>
  </numFmts>
  <fonts count="32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23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9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70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181" fontId="6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 quotePrefix="1">
      <alignment horizontal="center"/>
    </xf>
    <xf numFmtId="0" fontId="0" fillId="0" borderId="10" xfId="0" applyBorder="1" applyAlignment="1">
      <alignment/>
    </xf>
    <xf numFmtId="187" fontId="6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/>
    </xf>
    <xf numFmtId="181" fontId="4" fillId="0" borderId="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81" fontId="6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top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top"/>
    </xf>
    <xf numFmtId="0" fontId="6" fillId="0" borderId="13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/>
    </xf>
    <xf numFmtId="181" fontId="6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/>
    </xf>
    <xf numFmtId="0" fontId="12" fillId="0" borderId="12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49" fontId="6" fillId="0" borderId="11" xfId="0" applyNumberFormat="1" applyFont="1" applyBorder="1" applyAlignment="1">
      <alignment horizontal="center" vertical="top"/>
    </xf>
    <xf numFmtId="2" fontId="6" fillId="0" borderId="10" xfId="0" applyNumberFormat="1" applyFont="1" applyBorder="1" applyAlignment="1">
      <alignment horizontal="center"/>
    </xf>
    <xf numFmtId="181" fontId="6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top" wrapText="1"/>
    </xf>
    <xf numFmtId="2" fontId="11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/>
    </xf>
    <xf numFmtId="181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12" fillId="0" borderId="12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2" fontId="11" fillId="0" borderId="10" xfId="0" applyNumberFormat="1" applyFont="1" applyFill="1" applyBorder="1" applyAlignment="1">
      <alignment horizontal="center"/>
    </xf>
    <xf numFmtId="181" fontId="11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181" fontId="6" fillId="0" borderId="10" xfId="0" applyNumberFormat="1" applyFont="1" applyBorder="1" applyAlignment="1">
      <alignment vertical="center"/>
    </xf>
    <xf numFmtId="0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vertical="center"/>
    </xf>
    <xf numFmtId="0" fontId="11" fillId="0" borderId="10" xfId="0" applyNumberFormat="1" applyFont="1" applyBorder="1" applyAlignment="1">
      <alignment horizontal="center" vertical="center"/>
    </xf>
    <xf numFmtId="181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vertical="top" wrapText="1"/>
    </xf>
    <xf numFmtId="0" fontId="12" fillId="0" borderId="10" xfId="0" applyFont="1" applyBorder="1" applyAlignment="1">
      <alignment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2" fontId="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top" wrapText="1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181" fontId="6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 wrapText="1"/>
    </xf>
    <xf numFmtId="0" fontId="12" fillId="0" borderId="16" xfId="0" applyFont="1" applyBorder="1" applyAlignment="1">
      <alignment vertical="top" wrapText="1"/>
    </xf>
    <xf numFmtId="0" fontId="12" fillId="0" borderId="17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center" wrapText="1"/>
    </xf>
    <xf numFmtId="183" fontId="6" fillId="0" borderId="10" xfId="0" applyNumberFormat="1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 wrapText="1"/>
    </xf>
    <xf numFmtId="186" fontId="6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6" fillId="0" borderId="10" xfId="0" applyNumberFormat="1" applyFont="1" applyBorder="1" applyAlignment="1">
      <alignment vertical="top" wrapText="1"/>
    </xf>
    <xf numFmtId="1" fontId="6" fillId="0" borderId="10" xfId="0" applyNumberFormat="1" applyFont="1" applyBorder="1" applyAlignment="1">
      <alignment horizontal="center" vertical="center" wrapText="1"/>
    </xf>
    <xf numFmtId="185" fontId="6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85" fontId="11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 vertical="top"/>
    </xf>
    <xf numFmtId="181" fontId="11" fillId="0" borderId="10" xfId="0" applyNumberFormat="1" applyFont="1" applyFill="1" applyBorder="1" applyAlignment="1">
      <alignment horizontal="center" vertical="top"/>
    </xf>
    <xf numFmtId="181" fontId="11" fillId="0" borderId="10" xfId="0" applyNumberFormat="1" applyFont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top"/>
    </xf>
    <xf numFmtId="181" fontId="6" fillId="0" borderId="10" xfId="0" applyNumberFormat="1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vertical="top"/>
    </xf>
    <xf numFmtId="0" fontId="6" fillId="0" borderId="19" xfId="0" applyFont="1" applyBorder="1" applyAlignment="1">
      <alignment vertical="top"/>
    </xf>
    <xf numFmtId="0" fontId="11" fillId="0" borderId="11" xfId="0" applyFont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181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top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2" fontId="6" fillId="0" borderId="13" xfId="0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wrapText="1"/>
    </xf>
    <xf numFmtId="0" fontId="12" fillId="0" borderId="12" xfId="0" applyFont="1" applyBorder="1" applyAlignment="1">
      <alignment/>
    </xf>
    <xf numFmtId="0" fontId="6" fillId="0" borderId="20" xfId="0" applyFont="1" applyFill="1" applyBorder="1" applyAlignment="1">
      <alignment horizontal="center" vertical="top" wrapText="1"/>
    </xf>
    <xf numFmtId="0" fontId="14" fillId="0" borderId="12" xfId="0" applyFont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12" fillId="0" borderId="16" xfId="0" applyFont="1" applyBorder="1" applyAlignment="1">
      <alignment horizontal="center" vertical="top"/>
    </xf>
    <xf numFmtId="0" fontId="14" fillId="0" borderId="13" xfId="0" applyFont="1" applyBorder="1" applyAlignment="1">
      <alignment/>
    </xf>
    <xf numFmtId="0" fontId="6" fillId="0" borderId="14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14" fillId="0" borderId="11" xfId="0" applyFont="1" applyBorder="1" applyAlignment="1">
      <alignment/>
    </xf>
    <xf numFmtId="0" fontId="6" fillId="0" borderId="16" xfId="0" applyFont="1" applyFill="1" applyBorder="1" applyAlignment="1">
      <alignment horizontal="center" vertical="top" wrapText="1"/>
    </xf>
    <xf numFmtId="0" fontId="12" fillId="0" borderId="13" xfId="0" applyFont="1" applyBorder="1" applyAlignment="1">
      <alignment/>
    </xf>
    <xf numFmtId="0" fontId="6" fillId="0" borderId="17" xfId="0" applyFont="1" applyFill="1" applyBorder="1" applyAlignment="1">
      <alignment horizontal="center" vertical="top" wrapText="1"/>
    </xf>
    <xf numFmtId="0" fontId="12" fillId="0" borderId="11" xfId="0" applyFont="1" applyBorder="1" applyAlignment="1">
      <alignment/>
    </xf>
    <xf numFmtId="0" fontId="6" fillId="0" borderId="14" xfId="0" applyFont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2" fontId="6" fillId="0" borderId="10" xfId="0" applyNumberFormat="1" applyFont="1" applyFill="1" applyBorder="1" applyAlignment="1">
      <alignment horizontal="center" vertical="top"/>
    </xf>
    <xf numFmtId="181" fontId="6" fillId="0" borderId="10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vertical="top" wrapText="1"/>
    </xf>
    <xf numFmtId="0" fontId="12" fillId="0" borderId="11" xfId="0" applyFont="1" applyBorder="1" applyAlignment="1">
      <alignment horizontal="center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top"/>
    </xf>
    <xf numFmtId="0" fontId="6" fillId="0" borderId="21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2" fillId="0" borderId="11" xfId="0" applyFont="1" applyBorder="1" applyAlignment="1">
      <alignment horizontal="left" vertical="top" wrapText="1"/>
    </xf>
    <xf numFmtId="2" fontId="6" fillId="0" borderId="13" xfId="0" applyNumberFormat="1" applyFont="1" applyFill="1" applyBorder="1" applyAlignment="1">
      <alignment horizontal="center" vertical="top" wrapText="1"/>
    </xf>
    <xf numFmtId="180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180" fontId="6" fillId="0" borderId="10" xfId="0" applyNumberFormat="1" applyFont="1" applyFill="1" applyBorder="1" applyAlignment="1">
      <alignment horizontal="center"/>
    </xf>
    <xf numFmtId="180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/>
    </xf>
    <xf numFmtId="0" fontId="6" fillId="0" borderId="22" xfId="0" applyFont="1" applyBorder="1" applyAlignment="1">
      <alignment horizontal="justify" vertical="top" wrapText="1"/>
    </xf>
    <xf numFmtId="0" fontId="14" fillId="0" borderId="10" xfId="0" applyFont="1" applyFill="1" applyBorder="1" applyAlignment="1">
      <alignment/>
    </xf>
    <xf numFmtId="0" fontId="6" fillId="0" borderId="19" xfId="0" applyFont="1" applyFill="1" applyBorder="1" applyAlignment="1">
      <alignment horizontal="center" vertical="top" wrapText="1"/>
    </xf>
    <xf numFmtId="0" fontId="6" fillId="24" borderId="22" xfId="0" applyFont="1" applyFill="1" applyBorder="1" applyAlignment="1">
      <alignment horizontal="justify" vertical="top" wrapText="1"/>
    </xf>
    <xf numFmtId="0" fontId="12" fillId="0" borderId="17" xfId="0" applyFont="1" applyBorder="1" applyAlignment="1">
      <alignment horizontal="center" vertical="top"/>
    </xf>
    <xf numFmtId="0" fontId="6" fillId="24" borderId="19" xfId="0" applyFont="1" applyFill="1" applyBorder="1" applyAlignment="1">
      <alignment horizontal="justify" vertical="top" wrapText="1"/>
    </xf>
    <xf numFmtId="0" fontId="6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/>
    </xf>
    <xf numFmtId="0" fontId="6" fillId="24" borderId="21" xfId="0" applyFont="1" applyFill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top"/>
    </xf>
    <xf numFmtId="0" fontId="12" fillId="0" borderId="16" xfId="0" applyFont="1" applyBorder="1" applyAlignment="1">
      <alignment horizontal="center" wrapText="1"/>
    </xf>
    <xf numFmtId="0" fontId="12" fillId="0" borderId="19" xfId="0" applyFont="1" applyBorder="1" applyAlignment="1">
      <alignment horizontal="center" vertical="top"/>
    </xf>
    <xf numFmtId="0" fontId="12" fillId="0" borderId="17" xfId="0" applyFont="1" applyBorder="1" applyAlignment="1">
      <alignment horizontal="center" wrapText="1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wrapText="1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1" fontId="6" fillId="0" borderId="10" xfId="0" applyNumberFormat="1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12" fillId="0" borderId="12" xfId="0" applyFont="1" applyBorder="1" applyAlignment="1">
      <alignment wrapText="1"/>
    </xf>
    <xf numFmtId="0" fontId="6" fillId="0" borderId="12" xfId="0" applyFont="1" applyFill="1" applyBorder="1" applyAlignment="1">
      <alignment horizontal="center" vertical="center"/>
    </xf>
    <xf numFmtId="0" fontId="12" fillId="0" borderId="13" xfId="0" applyFont="1" applyBorder="1" applyAlignment="1">
      <alignment wrapText="1"/>
    </xf>
    <xf numFmtId="2" fontId="6" fillId="0" borderId="10" xfId="0" applyNumberFormat="1" applyFont="1" applyBorder="1" applyAlignment="1">
      <alignment horizontal="center" vertical="top"/>
    </xf>
    <xf numFmtId="2" fontId="6" fillId="0" borderId="13" xfId="0" applyNumberFormat="1" applyFont="1" applyBorder="1" applyAlignment="1">
      <alignment horizontal="center" vertical="top"/>
    </xf>
    <xf numFmtId="0" fontId="6" fillId="24" borderId="10" xfId="0" applyFont="1" applyFill="1" applyBorder="1" applyAlignment="1">
      <alignment horizontal="center" vertical="top" wrapText="1"/>
    </xf>
    <xf numFmtId="2" fontId="6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2" fontId="6" fillId="24" borderId="10" xfId="0" applyNumberFormat="1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 vertical="center"/>
    </xf>
    <xf numFmtId="0" fontId="15" fillId="24" borderId="11" xfId="0" applyFont="1" applyFill="1" applyBorder="1" applyAlignment="1">
      <alignment horizontal="left" wrapText="1"/>
    </xf>
    <xf numFmtId="0" fontId="11" fillId="24" borderId="11" xfId="0" applyFont="1" applyFill="1" applyBorder="1" applyAlignment="1">
      <alignment horizontal="center" vertical="top" wrapText="1"/>
    </xf>
    <xf numFmtId="2" fontId="11" fillId="24" borderId="10" xfId="0" applyNumberFormat="1" applyFont="1" applyFill="1" applyBorder="1" applyAlignment="1">
      <alignment horizontal="center" vertical="center"/>
    </xf>
    <xf numFmtId="1" fontId="11" fillId="24" borderId="10" xfId="0" applyNumberFormat="1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/>
    </xf>
    <xf numFmtId="0" fontId="11" fillId="24" borderId="12" xfId="0" applyFont="1" applyFill="1" applyBorder="1" applyAlignment="1">
      <alignment horizontal="center" vertical="top" wrapText="1"/>
    </xf>
    <xf numFmtId="0" fontId="6" fillId="24" borderId="13" xfId="0" applyFont="1" applyFill="1" applyBorder="1" applyAlignment="1">
      <alignment horizontal="center" vertical="center"/>
    </xf>
    <xf numFmtId="0" fontId="11" fillId="24" borderId="13" xfId="0" applyFont="1" applyFill="1" applyBorder="1" applyAlignment="1">
      <alignment horizontal="center" vertical="top" wrapText="1"/>
    </xf>
    <xf numFmtId="0" fontId="12" fillId="0" borderId="11" xfId="0" applyFont="1" applyBorder="1" applyAlignment="1">
      <alignment wrapText="1"/>
    </xf>
    <xf numFmtId="0" fontId="12" fillId="0" borderId="2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1" fontId="11" fillId="0" borderId="14" xfId="0" applyNumberFormat="1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top"/>
    </xf>
    <xf numFmtId="0" fontId="6" fillId="24" borderId="11" xfId="0" applyFont="1" applyFill="1" applyBorder="1" applyAlignment="1">
      <alignment horizontal="center" vertical="top" wrapText="1"/>
    </xf>
    <xf numFmtId="182" fontId="6" fillId="24" borderId="10" xfId="0" applyNumberFormat="1" applyFont="1" applyFill="1" applyBorder="1" applyAlignment="1">
      <alignment horizontal="center" vertical="center"/>
    </xf>
    <xf numFmtId="181" fontId="6" fillId="24" borderId="10" xfId="0" applyNumberFormat="1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top"/>
    </xf>
    <xf numFmtId="0" fontId="6" fillId="24" borderId="12" xfId="0" applyFont="1" applyFill="1" applyBorder="1" applyAlignment="1">
      <alignment horizontal="center" vertical="top" wrapText="1"/>
    </xf>
    <xf numFmtId="0" fontId="6" fillId="24" borderId="13" xfId="0" applyFont="1" applyFill="1" applyBorder="1" applyAlignment="1">
      <alignment horizontal="center" vertical="top" wrapText="1"/>
    </xf>
    <xf numFmtId="0" fontId="6" fillId="24" borderId="11" xfId="0" applyFont="1" applyFill="1" applyBorder="1" applyAlignment="1">
      <alignment horizontal="left" vertical="top" wrapText="1"/>
    </xf>
    <xf numFmtId="0" fontId="6" fillId="24" borderId="12" xfId="0" applyFont="1" applyFill="1" applyBorder="1" applyAlignment="1">
      <alignment horizontal="left" vertical="top" wrapText="1"/>
    </xf>
    <xf numFmtId="0" fontId="6" fillId="24" borderId="13" xfId="0" applyFont="1" applyFill="1" applyBorder="1" applyAlignment="1">
      <alignment horizontal="center" vertical="top"/>
    </xf>
    <xf numFmtId="0" fontId="6" fillId="24" borderId="13" xfId="0" applyFont="1" applyFill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 wrapText="1"/>
    </xf>
    <xf numFmtId="2" fontId="6" fillId="24" borderId="14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6" fillId="24" borderId="18" xfId="0" applyFont="1" applyFill="1" applyBorder="1" applyAlignment="1">
      <alignment horizontal="center" vertical="top"/>
    </xf>
    <xf numFmtId="0" fontId="6" fillId="24" borderId="20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justify" vertical="top" wrapText="1"/>
    </xf>
    <xf numFmtId="0" fontId="6" fillId="24" borderId="0" xfId="0" applyFont="1" applyFill="1" applyBorder="1" applyAlignment="1">
      <alignment horizontal="center" vertical="top" wrapText="1"/>
    </xf>
    <xf numFmtId="2" fontId="6" fillId="24" borderId="10" xfId="0" applyNumberFormat="1" applyFont="1" applyFill="1" applyBorder="1" applyAlignment="1">
      <alignment vertical="center"/>
    </xf>
    <xf numFmtId="0" fontId="6" fillId="24" borderId="10" xfId="0" applyFont="1" applyFill="1" applyBorder="1" applyAlignment="1">
      <alignment vertical="center"/>
    </xf>
    <xf numFmtId="181" fontId="11" fillId="0" borderId="10" xfId="0" applyNumberFormat="1" applyFont="1" applyBorder="1" applyAlignment="1">
      <alignment/>
    </xf>
    <xf numFmtId="0" fontId="6" fillId="0" borderId="23" xfId="0" applyFont="1" applyBorder="1" applyAlignment="1">
      <alignment horizontal="justify" vertical="center" wrapText="1"/>
    </xf>
    <xf numFmtId="0" fontId="6" fillId="24" borderId="21" xfId="0" applyFont="1" applyFill="1" applyBorder="1" applyAlignment="1">
      <alignment horizontal="center" vertical="top" wrapText="1"/>
    </xf>
    <xf numFmtId="2" fontId="6" fillId="24" borderId="17" xfId="0" applyNumberFormat="1" applyFont="1" applyFill="1" applyBorder="1" applyAlignment="1">
      <alignment horizontal="center" vertical="center"/>
    </xf>
    <xf numFmtId="181" fontId="6" fillId="24" borderId="13" xfId="0" applyNumberFormat="1" applyFont="1" applyFill="1" applyBorder="1" applyAlignment="1">
      <alignment horizontal="center" vertical="center"/>
    </xf>
    <xf numFmtId="2" fontId="6" fillId="24" borderId="13" xfId="0" applyNumberFormat="1" applyFont="1" applyFill="1" applyBorder="1" applyAlignment="1">
      <alignment horizontal="center" vertical="center"/>
    </xf>
    <xf numFmtId="2" fontId="6" fillId="24" borderId="13" xfId="0" applyNumberFormat="1" applyFont="1" applyFill="1" applyBorder="1" applyAlignment="1">
      <alignment vertical="center"/>
    </xf>
    <xf numFmtId="0" fontId="6" fillId="24" borderId="13" xfId="0" applyFont="1" applyFill="1" applyBorder="1" applyAlignment="1">
      <alignment vertical="center"/>
    </xf>
    <xf numFmtId="181" fontId="11" fillId="0" borderId="13" xfId="0" applyNumberFormat="1" applyFont="1" applyBorder="1" applyAlignment="1">
      <alignment/>
    </xf>
    <xf numFmtId="0" fontId="6" fillId="0" borderId="24" xfId="0" applyFont="1" applyBorder="1" applyAlignment="1">
      <alignment horizontal="justify" vertical="top" wrapText="1"/>
    </xf>
    <xf numFmtId="0" fontId="6" fillId="24" borderId="22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justify" vertical="top" wrapText="1"/>
    </xf>
    <xf numFmtId="0" fontId="6" fillId="24" borderId="16" xfId="0" applyFont="1" applyFill="1" applyBorder="1" applyAlignment="1">
      <alignment horizontal="center" vertical="top" wrapText="1"/>
    </xf>
    <xf numFmtId="0" fontId="6" fillId="24" borderId="15" xfId="0" applyFont="1" applyFill="1" applyBorder="1" applyAlignment="1">
      <alignment horizontal="center" vertical="top" wrapText="1"/>
    </xf>
    <xf numFmtId="0" fontId="6" fillId="24" borderId="16" xfId="0" applyFont="1" applyFill="1" applyBorder="1" applyAlignment="1">
      <alignment horizontal="left" vertical="top" wrapText="1"/>
    </xf>
    <xf numFmtId="2" fontId="6" fillId="24" borderId="10" xfId="0" applyNumberFormat="1" applyFont="1" applyFill="1" applyBorder="1" applyAlignment="1">
      <alignment horizontal="center" vertical="top"/>
    </xf>
    <xf numFmtId="0" fontId="6" fillId="24" borderId="1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justify" vertical="top" wrapText="1"/>
    </xf>
    <xf numFmtId="0" fontId="14" fillId="0" borderId="10" xfId="0" applyFont="1" applyFill="1" applyBorder="1" applyAlignment="1">
      <alignment horizontal="center"/>
    </xf>
    <xf numFmtId="0" fontId="6" fillId="24" borderId="20" xfId="0" applyFont="1" applyFill="1" applyBorder="1" applyAlignment="1">
      <alignment horizontal="left" vertical="top" wrapText="1"/>
    </xf>
    <xf numFmtId="0" fontId="6" fillId="24" borderId="0" xfId="0" applyFont="1" applyFill="1" applyBorder="1" applyAlignment="1">
      <alignment horizontal="left" vertical="top" wrapText="1"/>
    </xf>
    <xf numFmtId="0" fontId="11" fillId="0" borderId="12" xfId="0" applyFont="1" applyBorder="1" applyAlignment="1">
      <alignment horizontal="center" vertical="center"/>
    </xf>
    <xf numFmtId="0" fontId="11" fillId="0" borderId="16" xfId="0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184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vertical="top" wrapText="1"/>
    </xf>
    <xf numFmtId="0" fontId="12" fillId="0" borderId="10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left"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6" fillId="0" borderId="10" xfId="0" applyFont="1" applyFill="1" applyBorder="1" applyAlignment="1">
      <alignment vertical="top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top" wrapText="1"/>
    </xf>
    <xf numFmtId="0" fontId="11" fillId="0" borderId="16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2" fillId="0" borderId="17" xfId="0" applyFont="1" applyBorder="1" applyAlignment="1">
      <alignment vertical="top" wrapText="1"/>
    </xf>
    <xf numFmtId="0" fontId="6" fillId="24" borderId="11" xfId="0" applyFont="1" applyFill="1" applyBorder="1" applyAlignment="1">
      <alignment horizontal="center" vertical="top"/>
    </xf>
    <xf numFmtId="0" fontId="6" fillId="24" borderId="12" xfId="0" applyFont="1" applyFill="1" applyBorder="1" applyAlignment="1">
      <alignment horizontal="center" vertical="top"/>
    </xf>
    <xf numFmtId="0" fontId="6" fillId="24" borderId="13" xfId="0" applyFont="1" applyFill="1" applyBorder="1" applyAlignment="1">
      <alignment horizontal="center" vertical="top"/>
    </xf>
    <xf numFmtId="0" fontId="6" fillId="24" borderId="11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0" fontId="6" fillId="24" borderId="10" xfId="0" applyFont="1" applyFill="1" applyBorder="1" applyAlignment="1">
      <alignment horizontal="left" vertical="top" wrapText="1"/>
    </xf>
    <xf numFmtId="0" fontId="6" fillId="24" borderId="11" xfId="0" applyFont="1" applyFill="1" applyBorder="1" applyAlignment="1">
      <alignment vertical="top" wrapText="1"/>
    </xf>
    <xf numFmtId="0" fontId="6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181" fontId="6" fillId="0" borderId="11" xfId="0" applyNumberFormat="1" applyFont="1" applyFill="1" applyBorder="1" applyAlignment="1">
      <alignment horizontal="center"/>
    </xf>
    <xf numFmtId="181" fontId="6" fillId="0" borderId="12" xfId="0" applyNumberFormat="1" applyFont="1" applyFill="1" applyBorder="1" applyAlignment="1">
      <alignment horizontal="center"/>
    </xf>
    <xf numFmtId="181" fontId="6" fillId="0" borderId="13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5" fillId="0" borderId="11" xfId="0" applyFont="1" applyFill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  <xf numFmtId="0" fontId="6" fillId="24" borderId="12" xfId="0" applyFont="1" applyFill="1" applyBorder="1" applyAlignment="1">
      <alignment horizontal="left" vertical="top" wrapText="1"/>
    </xf>
    <xf numFmtId="0" fontId="6" fillId="24" borderId="13" xfId="0" applyFont="1" applyFill="1" applyBorder="1" applyAlignment="1">
      <alignment horizontal="left" vertical="top" wrapText="1"/>
    </xf>
    <xf numFmtId="1" fontId="6" fillId="0" borderId="14" xfId="0" applyNumberFormat="1" applyFont="1" applyFill="1" applyBorder="1" applyAlignment="1">
      <alignment horizontal="center" vertical="top"/>
    </xf>
    <xf numFmtId="0" fontId="12" fillId="0" borderId="14" xfId="0" applyFont="1" applyBorder="1" applyAlignment="1">
      <alignment/>
    </xf>
    <xf numFmtId="0" fontId="6" fillId="0" borderId="14" xfId="0" applyFont="1" applyFill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15" fillId="0" borderId="22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181" fontId="6" fillId="0" borderId="10" xfId="0" applyNumberFormat="1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2" fontId="6" fillId="0" borderId="11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181" fontId="11" fillId="0" borderId="10" xfId="0" applyNumberFormat="1" applyFont="1" applyBorder="1" applyAlignment="1">
      <alignment horizontal="center"/>
    </xf>
    <xf numFmtId="0" fontId="6" fillId="24" borderId="1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top"/>
    </xf>
    <xf numFmtId="0" fontId="12" fillId="0" borderId="10" xfId="0" applyFont="1" applyBorder="1" applyAlignment="1">
      <alignment/>
    </xf>
    <xf numFmtId="181" fontId="13" fillId="0" borderId="10" xfId="0" applyNumberFormat="1" applyFont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 vertical="top" wrapText="1"/>
    </xf>
    <xf numFmtId="0" fontId="6" fillId="24" borderId="11" xfId="0" applyFont="1" applyFill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6" fillId="24" borderId="0" xfId="0" applyFont="1" applyFill="1" applyBorder="1" applyAlignment="1">
      <alignment horizontal="center" vertical="top" wrapText="1"/>
    </xf>
    <xf numFmtId="0" fontId="6" fillId="24" borderId="23" xfId="0" applyFont="1" applyFill="1" applyBorder="1" applyAlignment="1">
      <alignment horizontal="center" vertical="top" wrapText="1"/>
    </xf>
    <xf numFmtId="0" fontId="6" fillId="24" borderId="12" xfId="0" applyFont="1" applyFill="1" applyBorder="1" applyAlignment="1">
      <alignment horizontal="center" vertical="top" wrapText="1"/>
    </xf>
    <xf numFmtId="0" fontId="6" fillId="24" borderId="13" xfId="0" applyFont="1" applyFill="1" applyBorder="1" applyAlignment="1">
      <alignment horizontal="center" vertical="top" wrapText="1"/>
    </xf>
    <xf numFmtId="2" fontId="6" fillId="24" borderId="10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left" vertical="top"/>
    </xf>
    <xf numFmtId="0" fontId="12" fillId="0" borderId="12" xfId="0" applyFont="1" applyBorder="1" applyAlignment="1">
      <alignment vertical="top"/>
    </xf>
    <xf numFmtId="0" fontId="12" fillId="0" borderId="13" xfId="0" applyFont="1" applyBorder="1" applyAlignment="1">
      <alignment vertical="top"/>
    </xf>
    <xf numFmtId="0" fontId="11" fillId="0" borderId="10" xfId="0" applyFont="1" applyFill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6" fillId="24" borderId="14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6" fillId="24" borderId="10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top"/>
    </xf>
    <xf numFmtId="0" fontId="11" fillId="0" borderId="14" xfId="0" applyFont="1" applyFill="1" applyBorder="1" applyAlignment="1">
      <alignment horizontal="center" vertical="top"/>
    </xf>
    <xf numFmtId="0" fontId="6" fillId="0" borderId="21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/>
    </xf>
    <xf numFmtId="0" fontId="12" fillId="0" borderId="11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0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wrapText="1"/>
    </xf>
    <xf numFmtId="0" fontId="12" fillId="0" borderId="12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1" xfId="0" applyFont="1" applyBorder="1" applyAlignment="1">
      <alignment horizontal="center" vertical="top"/>
    </xf>
    <xf numFmtId="0" fontId="11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0" fontId="11" fillId="0" borderId="11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2" fillId="0" borderId="12" xfId="0" applyFont="1" applyBorder="1" applyAlignment="1">
      <alignment horizontal="center" vertical="top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1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12" fillId="0" borderId="13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11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3" xfId="0" applyFont="1" applyFill="1" applyBorder="1" applyAlignment="1">
      <alignment vertical="top" wrapText="1"/>
    </xf>
    <xf numFmtId="0" fontId="12" fillId="0" borderId="11" xfId="0" applyFont="1" applyBorder="1" applyAlignment="1">
      <alignment/>
    </xf>
    <xf numFmtId="0" fontId="6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top"/>
    </xf>
    <xf numFmtId="0" fontId="6" fillId="0" borderId="22" xfId="0" applyFont="1" applyFill="1" applyBorder="1" applyAlignment="1">
      <alignment horizontal="center" vertical="top"/>
    </xf>
    <xf numFmtId="0" fontId="6" fillId="0" borderId="21" xfId="0" applyFont="1" applyFill="1" applyBorder="1" applyAlignment="1">
      <alignment horizontal="center" vertical="top"/>
    </xf>
    <xf numFmtId="0" fontId="12" fillId="0" borderId="11" xfId="0" applyFont="1" applyBorder="1" applyAlignment="1">
      <alignment vertical="top"/>
    </xf>
    <xf numFmtId="0" fontId="6" fillId="0" borderId="16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1" fontId="6" fillId="0" borderId="10" xfId="0" applyNumberFormat="1" applyFont="1" applyFill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2" fontId="11" fillId="0" borderId="1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vertical="top" wrapText="1"/>
    </xf>
    <xf numFmtId="0" fontId="6" fillId="0" borderId="18" xfId="0" applyFont="1" applyFill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center" wrapText="1"/>
    </xf>
    <xf numFmtId="181" fontId="11" fillId="0" borderId="10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49" fontId="6" fillId="0" borderId="21" xfId="0" applyNumberFormat="1" applyFont="1" applyBorder="1" applyAlignment="1">
      <alignment horizontal="center" vertical="top"/>
    </xf>
    <xf numFmtId="49" fontId="6" fillId="0" borderId="18" xfId="0" applyNumberFormat="1" applyFont="1" applyBorder="1" applyAlignment="1">
      <alignment horizontal="center" vertical="top"/>
    </xf>
    <xf numFmtId="49" fontId="12" fillId="0" borderId="19" xfId="0" applyNumberFormat="1" applyFont="1" applyBorder="1" applyAlignment="1">
      <alignment horizontal="center" vertical="top"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/>
    </xf>
    <xf numFmtId="49" fontId="6" fillId="0" borderId="13" xfId="0" applyNumberFormat="1" applyFont="1" applyBorder="1" applyAlignment="1">
      <alignment horizontal="center" vertical="top"/>
    </xf>
    <xf numFmtId="0" fontId="11" fillId="0" borderId="11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24" borderId="10" xfId="0" applyFont="1" applyFill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24" borderId="10" xfId="0" applyFont="1" applyFill="1" applyBorder="1" applyAlignment="1">
      <alignment horizontal="center" vertical="top" wrapText="1"/>
    </xf>
    <xf numFmtId="0" fontId="13" fillId="24" borderId="10" xfId="0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top"/>
    </xf>
    <xf numFmtId="2" fontId="6" fillId="24" borderId="1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top" wrapText="1"/>
    </xf>
    <xf numFmtId="181" fontId="11" fillId="24" borderId="10" xfId="0" applyNumberFormat="1" applyFont="1" applyFill="1" applyBorder="1" applyAlignment="1">
      <alignment horizontal="center"/>
    </xf>
    <xf numFmtId="2" fontId="11" fillId="24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vertical="top" wrapText="1"/>
    </xf>
    <xf numFmtId="181" fontId="6" fillId="24" borderId="10" xfId="0" applyNumberFormat="1" applyFont="1" applyFill="1" applyBorder="1" applyAlignment="1">
      <alignment horizontal="center"/>
    </xf>
    <xf numFmtId="181" fontId="6" fillId="0" borderId="10" xfId="0" applyNumberFormat="1" applyFont="1" applyBorder="1" applyAlignment="1">
      <alignment horizontal="center"/>
    </xf>
    <xf numFmtId="181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81" fontId="12" fillId="0" borderId="10" xfId="0" applyNumberFormat="1" applyFont="1" applyBorder="1" applyAlignment="1">
      <alignment horizontal="center"/>
    </xf>
    <xf numFmtId="0" fontId="6" fillId="0" borderId="14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189" fontId="6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 wrapText="1"/>
    </xf>
    <xf numFmtId="181" fontId="11" fillId="0" borderId="11" xfId="0" applyNumberFormat="1" applyFont="1" applyFill="1" applyBorder="1" applyAlignment="1">
      <alignment horizontal="center"/>
    </xf>
    <xf numFmtId="181" fontId="11" fillId="0" borderId="12" xfId="0" applyNumberFormat="1" applyFont="1" applyFill="1" applyBorder="1" applyAlignment="1">
      <alignment horizontal="center"/>
    </xf>
    <xf numFmtId="181" fontId="11" fillId="0" borderId="13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vertical="top"/>
    </xf>
    <xf numFmtId="0" fontId="13" fillId="0" borderId="10" xfId="0" applyFont="1" applyBorder="1" applyAlignment="1">
      <alignment horizontal="center" vertical="top"/>
    </xf>
    <xf numFmtId="0" fontId="12" fillId="0" borderId="10" xfId="0" applyFont="1" applyBorder="1" applyAlignment="1">
      <alignment vertical="top"/>
    </xf>
    <xf numFmtId="2" fontId="6" fillId="0" borderId="10" xfId="0" applyNumberFormat="1" applyFont="1" applyFill="1" applyBorder="1" applyAlignment="1">
      <alignment horizontal="center" wrapText="1"/>
    </xf>
    <xf numFmtId="181" fontId="6" fillId="0" borderId="10" xfId="0" applyNumberFormat="1" applyFont="1" applyFill="1" applyBorder="1" applyAlignment="1">
      <alignment horizontal="center" wrapText="1"/>
    </xf>
    <xf numFmtId="182" fontId="6" fillId="0" borderId="10" xfId="0" applyNumberFormat="1" applyFont="1" applyFill="1" applyBorder="1" applyAlignment="1">
      <alignment horizontal="center"/>
    </xf>
    <xf numFmtId="0" fontId="14" fillId="0" borderId="10" xfId="0" applyFont="1" applyBorder="1" applyAlignment="1">
      <alignment horizontal="center" vertical="top"/>
    </xf>
    <xf numFmtId="181" fontId="6" fillId="0" borderId="10" xfId="0" applyNumberFormat="1" applyFont="1" applyFill="1" applyBorder="1" applyAlignment="1">
      <alignment horizontal="center" wrapText="1"/>
    </xf>
    <xf numFmtId="2" fontId="6" fillId="0" borderId="13" xfId="0" applyNumberFormat="1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181" fontId="6" fillId="0" borderId="10" xfId="0" applyNumberFormat="1" applyFont="1" applyFill="1" applyBorder="1" applyAlignment="1">
      <alignment horizontal="center" vertical="top" wrapText="1"/>
    </xf>
    <xf numFmtId="180" fontId="6" fillId="0" borderId="10" xfId="0" applyNumberFormat="1" applyFont="1" applyFill="1" applyBorder="1" applyAlignment="1">
      <alignment horizontal="left" vertical="top" wrapText="1"/>
    </xf>
    <xf numFmtId="0" fontId="11" fillId="0" borderId="11" xfId="0" applyFont="1" applyBorder="1" applyAlignment="1">
      <alignment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21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12" fillId="0" borderId="10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/>
    </xf>
    <xf numFmtId="0" fontId="13" fillId="0" borderId="10" xfId="0" applyFont="1" applyBorder="1" applyAlignment="1">
      <alignment horizontal="left" vertical="top"/>
    </xf>
    <xf numFmtId="4" fontId="11" fillId="0" borderId="10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 vertical="top"/>
    </xf>
    <xf numFmtId="0" fontId="12" fillId="0" borderId="14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/>
    </xf>
    <xf numFmtId="1" fontId="11" fillId="0" borderId="10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49" fontId="12" fillId="0" borderId="12" xfId="0" applyNumberFormat="1" applyFont="1" applyBorder="1" applyAlignment="1">
      <alignment horizontal="center" vertical="top"/>
    </xf>
    <xf numFmtId="49" fontId="12" fillId="0" borderId="13" xfId="0" applyNumberFormat="1" applyFont="1" applyBorder="1" applyAlignment="1">
      <alignment horizontal="center" vertical="top"/>
    </xf>
    <xf numFmtId="2" fontId="6" fillId="0" borderId="11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181" fontId="6" fillId="0" borderId="11" xfId="0" applyNumberFormat="1" applyFont="1" applyBorder="1" applyAlignment="1">
      <alignment horizontal="center"/>
    </xf>
    <xf numFmtId="181" fontId="6" fillId="0" borderId="12" xfId="0" applyNumberFormat="1" applyFont="1" applyBorder="1" applyAlignment="1">
      <alignment horizontal="center"/>
    </xf>
    <xf numFmtId="181" fontId="6" fillId="0" borderId="13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/>
    </xf>
    <xf numFmtId="0" fontId="11" fillId="0" borderId="22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2" fontId="11" fillId="0" borderId="10" xfId="0" applyNumberFormat="1" applyFont="1" applyBorder="1" applyAlignment="1">
      <alignment horizontal="center" vertical="center"/>
    </xf>
    <xf numFmtId="181" fontId="11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/>
    </xf>
    <xf numFmtId="0" fontId="11" fillId="0" borderId="14" xfId="0" applyFont="1" applyBorder="1" applyAlignment="1">
      <alignment horizontal="center" vertical="top" wrapText="1"/>
    </xf>
    <xf numFmtId="0" fontId="14" fillId="0" borderId="10" xfId="0" applyFont="1" applyBorder="1" applyAlignment="1">
      <alignment/>
    </xf>
    <xf numFmtId="181" fontId="11" fillId="0" borderId="10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top" wrapText="1"/>
    </xf>
    <xf numFmtId="1" fontId="6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14" fillId="0" borderId="10" xfId="0" applyFont="1" applyBorder="1" applyAlignment="1">
      <alignment vertical="top"/>
    </xf>
    <xf numFmtId="0" fontId="14" fillId="0" borderId="11" xfId="0" applyFont="1" applyBorder="1" applyAlignment="1">
      <alignment vertical="top"/>
    </xf>
    <xf numFmtId="0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vertical="top" wrapText="1"/>
    </xf>
    <xf numFmtId="0" fontId="6" fillId="0" borderId="12" xfId="0" applyNumberFormat="1" applyFont="1" applyBorder="1" applyAlignment="1">
      <alignment vertical="top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185" fontId="11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top" wrapText="1"/>
    </xf>
    <xf numFmtId="181" fontId="6" fillId="0" borderId="11" xfId="0" applyNumberFormat="1" applyFont="1" applyFill="1" applyBorder="1" applyAlignment="1">
      <alignment horizontal="center" vertical="center"/>
    </xf>
    <xf numFmtId="181" fontId="6" fillId="0" borderId="12" xfId="0" applyNumberFormat="1" applyFont="1" applyFill="1" applyBorder="1" applyAlignment="1">
      <alignment horizontal="center" vertical="center"/>
    </xf>
    <xf numFmtId="181" fontId="6" fillId="0" borderId="13" xfId="0" applyNumberFormat="1" applyFont="1" applyFill="1" applyBorder="1" applyAlignment="1">
      <alignment horizontal="center" vertical="center"/>
    </xf>
    <xf numFmtId="181" fontId="6" fillId="0" borderId="10" xfId="0" applyNumberFormat="1" applyFont="1" applyFill="1" applyBorder="1" applyAlignment="1">
      <alignment/>
    </xf>
    <xf numFmtId="0" fontId="16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181" fontId="6" fillId="0" borderId="10" xfId="0" applyNumberFormat="1" applyFont="1" applyFill="1" applyBorder="1" applyAlignment="1">
      <alignment horizontal="center" vertical="top"/>
    </xf>
    <xf numFmtId="181" fontId="11" fillId="0" borderId="10" xfId="0" applyNumberFormat="1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14" fillId="0" borderId="14" xfId="0" applyFont="1" applyBorder="1" applyAlignment="1">
      <alignment vertical="top"/>
    </xf>
    <xf numFmtId="0" fontId="12" fillId="0" borderId="14" xfId="0" applyFont="1" applyFill="1" applyBorder="1" applyAlignment="1">
      <alignment horizontal="center"/>
    </xf>
    <xf numFmtId="182" fontId="6" fillId="0" borderId="10" xfId="0" applyNumberFormat="1" applyFont="1" applyFill="1" applyBorder="1" applyAlignment="1">
      <alignment horizontal="center" vertical="top" wrapText="1"/>
    </xf>
    <xf numFmtId="182" fontId="14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vertical="top"/>
    </xf>
    <xf numFmtId="0" fontId="13" fillId="0" borderId="10" xfId="0" applyFont="1" applyBorder="1" applyAlignment="1">
      <alignment horizontal="center" vertical="top" wrapText="1"/>
    </xf>
    <xf numFmtId="0" fontId="13" fillId="24" borderId="10" xfId="0" applyFont="1" applyFill="1" applyBorder="1" applyAlignment="1">
      <alignment horizontal="center"/>
    </xf>
    <xf numFmtId="181" fontId="11" fillId="0" borderId="13" xfId="0" applyNumberFormat="1" applyFont="1" applyBorder="1" applyAlignment="1">
      <alignment horizontal="center"/>
    </xf>
    <xf numFmtId="181" fontId="13" fillId="24" borderId="10" xfId="0" applyNumberFormat="1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 horizontal="center"/>
    </xf>
    <xf numFmtId="181" fontId="12" fillId="0" borderId="12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/>
    </xf>
    <xf numFmtId="181" fontId="6" fillId="0" borderId="22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1" fontId="6" fillId="24" borderId="11" xfId="0" applyNumberFormat="1" applyFont="1" applyFill="1" applyBorder="1" applyAlignment="1">
      <alignment horizontal="center" vertical="center"/>
    </xf>
    <xf numFmtId="181" fontId="6" fillId="24" borderId="10" xfId="0" applyNumberFormat="1" applyFont="1" applyFill="1" applyBorder="1" applyAlignment="1">
      <alignment horizontal="center" vertical="center"/>
    </xf>
    <xf numFmtId="2" fontId="6" fillId="24" borderId="11" xfId="0" applyNumberFormat="1" applyFont="1" applyFill="1" applyBorder="1" applyAlignment="1">
      <alignment horizontal="center" vertical="center"/>
    </xf>
    <xf numFmtId="2" fontId="6" fillId="24" borderId="12" xfId="0" applyNumberFormat="1" applyFont="1" applyFill="1" applyBorder="1" applyAlignment="1">
      <alignment horizontal="center" vertical="center"/>
    </xf>
    <xf numFmtId="181" fontId="6" fillId="24" borderId="12" xfId="0" applyNumberFormat="1" applyFont="1" applyFill="1" applyBorder="1" applyAlignment="1">
      <alignment horizontal="center" vertical="center"/>
    </xf>
    <xf numFmtId="181" fontId="14" fillId="0" borderId="10" xfId="0" applyNumberFormat="1" applyFont="1" applyFill="1" applyBorder="1" applyAlignment="1">
      <alignment horizontal="center"/>
    </xf>
    <xf numFmtId="182" fontId="6" fillId="24" borderId="10" xfId="0" applyNumberFormat="1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181" fontId="12" fillId="0" borderId="12" xfId="0" applyNumberFormat="1" applyFont="1" applyBorder="1" applyAlignment="1">
      <alignment horizontal="center" vertical="center"/>
    </xf>
    <xf numFmtId="181" fontId="12" fillId="0" borderId="13" xfId="0" applyNumberFormat="1" applyFont="1" applyBorder="1" applyAlignment="1">
      <alignment horizontal="center" vertical="center"/>
    </xf>
    <xf numFmtId="181" fontId="11" fillId="0" borderId="12" xfId="0" applyNumberFormat="1" applyFont="1" applyBorder="1" applyAlignment="1">
      <alignment/>
    </xf>
    <xf numFmtId="181" fontId="12" fillId="0" borderId="12" xfId="0" applyNumberFormat="1" applyFont="1" applyBorder="1" applyAlignment="1">
      <alignment horizontal="center"/>
    </xf>
    <xf numFmtId="181" fontId="12" fillId="0" borderId="13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2" fontId="11" fillId="0" borderId="11" xfId="0" applyNumberFormat="1" applyFont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2" fontId="11" fillId="0" borderId="13" xfId="0" applyNumberFormat="1" applyFont="1" applyBorder="1" applyAlignment="1">
      <alignment horizontal="center"/>
    </xf>
    <xf numFmtId="181" fontId="11" fillId="0" borderId="11" xfId="0" applyNumberFormat="1" applyFont="1" applyBorder="1" applyAlignment="1">
      <alignment horizontal="center"/>
    </xf>
    <xf numFmtId="181" fontId="11" fillId="0" borderId="12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181" fontId="6" fillId="0" borderId="14" xfId="0" applyNumberFormat="1" applyFont="1" applyFill="1" applyBorder="1" applyAlignment="1">
      <alignment horizontal="center"/>
    </xf>
    <xf numFmtId="2" fontId="14" fillId="0" borderId="10" xfId="0" applyNumberFormat="1" applyFont="1" applyBorder="1" applyAlignment="1">
      <alignment vertical="top"/>
    </xf>
    <xf numFmtId="181" fontId="14" fillId="0" borderId="10" xfId="0" applyNumberFormat="1" applyFont="1" applyBorder="1" applyAlignment="1">
      <alignment horizontal="center"/>
    </xf>
    <xf numFmtId="2" fontId="11" fillId="0" borderId="10" xfId="0" applyNumberFormat="1" applyFont="1" applyFill="1" applyBorder="1" applyAlignment="1">
      <alignment horizontal="center" wrapText="1"/>
    </xf>
    <xf numFmtId="0" fontId="13" fillId="0" borderId="10" xfId="0" applyFont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wrapText="1"/>
    </xf>
    <xf numFmtId="0" fontId="6" fillId="0" borderId="21" xfId="0" applyFont="1" applyFill="1" applyBorder="1" applyAlignment="1">
      <alignment vertical="top" wrapText="1"/>
    </xf>
    <xf numFmtId="0" fontId="12" fillId="0" borderId="18" xfId="0" applyFont="1" applyBorder="1" applyAlignment="1">
      <alignment/>
    </xf>
    <xf numFmtId="0" fontId="6" fillId="0" borderId="15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top"/>
    </xf>
    <xf numFmtId="0" fontId="16" fillId="0" borderId="10" xfId="0" applyFont="1" applyBorder="1" applyAlignment="1">
      <alignment vertical="top"/>
    </xf>
    <xf numFmtId="1" fontId="6" fillId="0" borderId="15" xfId="0" applyNumberFormat="1" applyFont="1" applyFill="1" applyBorder="1" applyAlignment="1">
      <alignment horizontal="center" vertical="top"/>
    </xf>
    <xf numFmtId="1" fontId="6" fillId="0" borderId="16" xfId="0" applyNumberFormat="1" applyFont="1" applyFill="1" applyBorder="1" applyAlignment="1">
      <alignment horizontal="center" vertical="top"/>
    </xf>
    <xf numFmtId="1" fontId="6" fillId="0" borderId="17" xfId="0" applyNumberFormat="1" applyFont="1" applyFill="1" applyBorder="1" applyAlignment="1">
      <alignment horizontal="center" vertical="top"/>
    </xf>
    <xf numFmtId="0" fontId="12" fillId="0" borderId="14" xfId="0" applyFont="1" applyBorder="1" applyAlignment="1">
      <alignment horizontal="center"/>
    </xf>
    <xf numFmtId="0" fontId="12" fillId="0" borderId="16" xfId="0" applyFont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/>
    </xf>
    <xf numFmtId="49" fontId="6" fillId="0" borderId="12" xfId="0" applyNumberFormat="1" applyFont="1" applyFill="1" applyBorder="1" applyAlignment="1">
      <alignment horizontal="center" vertical="top"/>
    </xf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1" fillId="0" borderId="22" xfId="0" applyFont="1" applyFill="1" applyBorder="1" applyAlignment="1">
      <alignment horizontal="center" vertical="top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/>
    </xf>
    <xf numFmtId="2" fontId="11" fillId="0" borderId="11" xfId="0" applyNumberFormat="1" applyFont="1" applyFill="1" applyBorder="1" applyAlignment="1">
      <alignment horizontal="center"/>
    </xf>
    <xf numFmtId="2" fontId="11" fillId="0" borderId="12" xfId="0" applyNumberFormat="1" applyFont="1" applyFill="1" applyBorder="1" applyAlignment="1">
      <alignment horizontal="center"/>
    </xf>
    <xf numFmtId="2" fontId="11" fillId="0" borderId="13" xfId="0" applyNumberFormat="1" applyFont="1" applyFill="1" applyBorder="1" applyAlignment="1">
      <alignment horizontal="center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2" fillId="0" borderId="18" xfId="0" applyFont="1" applyFill="1" applyBorder="1" applyAlignment="1">
      <alignment horizontal="left" vertical="top" wrapText="1"/>
    </xf>
    <xf numFmtId="2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left" vertical="top" wrapText="1"/>
    </xf>
    <xf numFmtId="0" fontId="11" fillId="0" borderId="10" xfId="0" applyNumberFormat="1" applyFont="1" applyBorder="1" applyAlignment="1">
      <alignment horizontal="left" vertical="top" wrapText="1"/>
    </xf>
    <xf numFmtId="181" fontId="6" fillId="0" borderId="11" xfId="0" applyNumberFormat="1" applyFont="1" applyBorder="1" applyAlignment="1">
      <alignment horizontal="center" vertical="center"/>
    </xf>
    <xf numFmtId="181" fontId="6" fillId="0" borderId="12" xfId="0" applyNumberFormat="1" applyFont="1" applyBorder="1" applyAlignment="1">
      <alignment horizontal="center" vertical="center"/>
    </xf>
    <xf numFmtId="181" fontId="6" fillId="0" borderId="13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5" xfId="0" applyFont="1" applyFill="1" applyBorder="1" applyAlignment="1">
      <alignment horizontal="left" vertical="top" wrapText="1"/>
    </xf>
    <xf numFmtId="0" fontId="6" fillId="0" borderId="13" xfId="0" applyFont="1" applyBorder="1" applyAlignment="1">
      <alignment vertical="top" wrapText="1"/>
    </xf>
    <xf numFmtId="49" fontId="6" fillId="24" borderId="11" xfId="0" applyNumberFormat="1" applyFont="1" applyFill="1" applyBorder="1" applyAlignment="1">
      <alignment horizontal="center" vertical="top"/>
    </xf>
    <xf numFmtId="0" fontId="6" fillId="0" borderId="13" xfId="0" applyNumberFormat="1" applyFont="1" applyBorder="1" applyAlignment="1">
      <alignment vertical="top" wrapText="1"/>
    </xf>
    <xf numFmtId="0" fontId="6" fillId="0" borderId="10" xfId="0" applyNumberFormat="1" applyFont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12" fillId="0" borderId="13" xfId="0" applyNumberFormat="1" applyFont="1" applyBorder="1" applyAlignment="1">
      <alignment horizontal="center" vertical="top" wrapText="1"/>
    </xf>
    <xf numFmtId="0" fontId="11" fillId="0" borderId="11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vertical="top"/>
    </xf>
    <xf numFmtId="0" fontId="11" fillId="0" borderId="11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wrapText="1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top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top"/>
    </xf>
    <xf numFmtId="0" fontId="11" fillId="0" borderId="12" xfId="0" applyFont="1" applyBorder="1" applyAlignment="1">
      <alignment horizontal="center" vertical="center"/>
    </xf>
    <xf numFmtId="0" fontId="6" fillId="24" borderId="15" xfId="0" applyFont="1" applyFill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2383"/>
  <sheetViews>
    <sheetView tabSelected="1" view="pageBreakPreview" zoomScaleNormal="75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322" sqref="C322:C325"/>
    </sheetView>
  </sheetViews>
  <sheetFormatPr defaultColWidth="9.00390625" defaultRowHeight="12.75"/>
  <cols>
    <col min="1" max="1" width="3.75390625" style="0" customWidth="1"/>
    <col min="2" max="2" width="17.125" style="0" customWidth="1"/>
    <col min="3" max="3" width="35.25390625" style="0" customWidth="1"/>
    <col min="4" max="4" width="12.125" style="0" customWidth="1"/>
    <col min="5" max="5" width="12.625" style="0" customWidth="1"/>
    <col min="6" max="6" width="8.875" style="0" customWidth="1"/>
    <col min="7" max="7" width="8.375" style="0" bestFit="1" customWidth="1"/>
    <col min="8" max="8" width="12.75390625" style="0" bestFit="1" customWidth="1"/>
    <col min="9" max="9" width="9.375" style="0" customWidth="1"/>
    <col min="10" max="10" width="9.875" style="0" customWidth="1"/>
    <col min="11" max="11" width="8.625" style="0" customWidth="1"/>
    <col min="12" max="12" width="9.375" style="0" customWidth="1"/>
    <col min="13" max="14" width="8.625" style="0" customWidth="1"/>
  </cols>
  <sheetData>
    <row r="1" spans="11:14" ht="54" customHeight="1">
      <c r="K1" s="410" t="s">
        <v>130</v>
      </c>
      <c r="L1" s="410"/>
      <c r="M1" s="410"/>
      <c r="N1" s="410"/>
    </row>
    <row r="2" spans="1:14" ht="48.75" customHeight="1">
      <c r="A2" s="522" t="s">
        <v>78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</row>
    <row r="3" spans="1:14" ht="12.75" customHeight="1">
      <c r="A3" s="526" t="s">
        <v>83</v>
      </c>
      <c r="B3" s="526" t="s">
        <v>99</v>
      </c>
      <c r="C3" s="526" t="s">
        <v>84</v>
      </c>
      <c r="D3" s="526" t="s">
        <v>85</v>
      </c>
      <c r="E3" s="526" t="s">
        <v>86</v>
      </c>
      <c r="F3" s="526"/>
      <c r="G3" s="528" t="s">
        <v>98</v>
      </c>
      <c r="H3" s="529"/>
      <c r="I3" s="529"/>
      <c r="J3" s="529"/>
      <c r="K3" s="529"/>
      <c r="L3" s="529"/>
      <c r="M3" s="529"/>
      <c r="N3" s="530"/>
    </row>
    <row r="4" spans="1:14" ht="21.75" customHeight="1">
      <c r="A4" s="526"/>
      <c r="B4" s="526"/>
      <c r="C4" s="527"/>
      <c r="D4" s="527"/>
      <c r="E4" s="526"/>
      <c r="F4" s="526"/>
      <c r="G4" s="526" t="s">
        <v>100</v>
      </c>
      <c r="H4" s="526" t="s">
        <v>480</v>
      </c>
      <c r="I4" s="531" t="s">
        <v>87</v>
      </c>
      <c r="J4" s="532"/>
      <c r="K4" s="532"/>
      <c r="L4" s="532"/>
      <c r="M4" s="532"/>
      <c r="N4" s="533"/>
    </row>
    <row r="5" spans="1:14" ht="46.5" customHeight="1">
      <c r="A5" s="526"/>
      <c r="B5" s="526"/>
      <c r="C5" s="527"/>
      <c r="D5" s="527"/>
      <c r="E5" s="19" t="s">
        <v>96</v>
      </c>
      <c r="F5" s="19" t="s">
        <v>97</v>
      </c>
      <c r="G5" s="527"/>
      <c r="H5" s="527"/>
      <c r="I5" s="19" t="s">
        <v>473</v>
      </c>
      <c r="J5" s="19" t="s">
        <v>88</v>
      </c>
      <c r="K5" s="19" t="s">
        <v>89</v>
      </c>
      <c r="L5" s="19" t="s">
        <v>90</v>
      </c>
      <c r="M5" s="19" t="s">
        <v>91</v>
      </c>
      <c r="N5" s="19" t="s">
        <v>92</v>
      </c>
    </row>
    <row r="6" spans="1:14" ht="9.75" customHeight="1">
      <c r="A6" s="20" t="s">
        <v>93</v>
      </c>
      <c r="B6" s="20" t="s">
        <v>94</v>
      </c>
      <c r="C6" s="20" t="s">
        <v>95</v>
      </c>
      <c r="D6" s="20">
        <v>1</v>
      </c>
      <c r="E6" s="20">
        <v>2</v>
      </c>
      <c r="F6" s="20">
        <v>3</v>
      </c>
      <c r="G6" s="20">
        <v>4</v>
      </c>
      <c r="H6" s="20">
        <v>5</v>
      </c>
      <c r="I6" s="20">
        <v>6</v>
      </c>
      <c r="J6" s="20">
        <v>7</v>
      </c>
      <c r="K6" s="20">
        <v>8</v>
      </c>
      <c r="L6" s="20">
        <v>9</v>
      </c>
      <c r="M6" s="20">
        <v>10</v>
      </c>
      <c r="N6" s="20">
        <v>11</v>
      </c>
    </row>
    <row r="7" spans="1:14" ht="12.75">
      <c r="A7" s="524" t="s">
        <v>101</v>
      </c>
      <c r="B7" s="525"/>
      <c r="C7" s="525"/>
      <c r="D7" s="525"/>
      <c r="E7" s="525"/>
      <c r="F7" s="525"/>
      <c r="G7" s="525"/>
      <c r="H7" s="525"/>
      <c r="I7" s="525"/>
      <c r="J7" s="525"/>
      <c r="K7" s="525"/>
      <c r="L7" s="525"/>
      <c r="M7" s="525"/>
      <c r="N7" s="477"/>
    </row>
    <row r="8" spans="1:14" ht="21" customHeight="1">
      <c r="A8" s="411">
        <v>1</v>
      </c>
      <c r="B8" s="404" t="s">
        <v>102</v>
      </c>
      <c r="C8" s="422" t="s">
        <v>103</v>
      </c>
      <c r="D8" s="24" t="s">
        <v>444</v>
      </c>
      <c r="E8" s="25">
        <f>SUMIF($F9:$F13,$F8,$E9:$E13)</f>
        <v>1123</v>
      </c>
      <c r="F8" s="26">
        <v>3</v>
      </c>
      <c r="G8" s="25">
        <f>SUM(G9:G13)</f>
        <v>2.1399999999999997</v>
      </c>
      <c r="H8" s="25">
        <f>SUM(H9:H13)</f>
        <v>2766.31</v>
      </c>
      <c r="I8" s="27"/>
      <c r="J8" s="27"/>
      <c r="K8" s="27"/>
      <c r="L8" s="27">
        <f>SUM(L9:L13)</f>
        <v>6.119</v>
      </c>
      <c r="M8" s="27"/>
      <c r="N8" s="27"/>
    </row>
    <row r="9" spans="1:14" ht="10.5" customHeight="1">
      <c r="A9" s="412"/>
      <c r="B9" s="405"/>
      <c r="C9" s="362"/>
      <c r="D9" s="24">
        <v>2011</v>
      </c>
      <c r="E9" s="25">
        <v>1022</v>
      </c>
      <c r="F9" s="26">
        <v>3</v>
      </c>
      <c r="G9" s="25">
        <v>0.4</v>
      </c>
      <c r="H9" s="25">
        <v>516.88</v>
      </c>
      <c r="I9" s="27"/>
      <c r="J9" s="27"/>
      <c r="K9" s="27"/>
      <c r="L9" s="27">
        <v>1.153</v>
      </c>
      <c r="M9" s="27"/>
      <c r="N9" s="27"/>
    </row>
    <row r="10" spans="1:14" ht="11.25" customHeight="1">
      <c r="A10" s="412"/>
      <c r="B10" s="405"/>
      <c r="C10" s="362"/>
      <c r="D10" s="24">
        <v>2012</v>
      </c>
      <c r="E10" s="25">
        <v>26</v>
      </c>
      <c r="F10" s="26">
        <v>3</v>
      </c>
      <c r="G10" s="25">
        <v>0.41</v>
      </c>
      <c r="H10" s="25">
        <v>525.52</v>
      </c>
      <c r="I10" s="27"/>
      <c r="J10" s="27"/>
      <c r="K10" s="27"/>
      <c r="L10" s="27">
        <v>1.175</v>
      </c>
      <c r="M10" s="27"/>
      <c r="N10" s="27"/>
    </row>
    <row r="11" spans="1:14" ht="9.75" customHeight="1">
      <c r="A11" s="412"/>
      <c r="B11" s="405"/>
      <c r="C11" s="362"/>
      <c r="D11" s="24">
        <v>2013</v>
      </c>
      <c r="E11" s="25">
        <v>30</v>
      </c>
      <c r="F11" s="26">
        <v>3</v>
      </c>
      <c r="G11" s="25">
        <v>0.42</v>
      </c>
      <c r="H11" s="25">
        <v>541.06</v>
      </c>
      <c r="I11" s="27"/>
      <c r="J11" s="27"/>
      <c r="K11" s="27"/>
      <c r="L11" s="27">
        <v>1.195</v>
      </c>
      <c r="M11" s="27"/>
      <c r="N11" s="27"/>
    </row>
    <row r="12" spans="1:14" ht="10.5" customHeight="1">
      <c r="A12" s="412"/>
      <c r="B12" s="405"/>
      <c r="C12" s="362"/>
      <c r="D12" s="24">
        <v>2014</v>
      </c>
      <c r="E12" s="25">
        <v>15</v>
      </c>
      <c r="F12" s="26">
        <v>3</v>
      </c>
      <c r="G12" s="25">
        <v>0.42</v>
      </c>
      <c r="H12" s="25">
        <v>536.66</v>
      </c>
      <c r="I12" s="27"/>
      <c r="J12" s="27"/>
      <c r="K12" s="27"/>
      <c r="L12" s="27">
        <v>1.198</v>
      </c>
      <c r="M12" s="27"/>
      <c r="N12" s="27"/>
    </row>
    <row r="13" spans="1:14" ht="12.75">
      <c r="A13" s="419"/>
      <c r="B13" s="406"/>
      <c r="C13" s="363"/>
      <c r="D13" s="24">
        <v>2015</v>
      </c>
      <c r="E13" s="25">
        <v>30</v>
      </c>
      <c r="F13" s="26">
        <v>3</v>
      </c>
      <c r="G13" s="25">
        <v>0.49</v>
      </c>
      <c r="H13" s="25">
        <v>646.19</v>
      </c>
      <c r="I13" s="27"/>
      <c r="J13" s="27"/>
      <c r="K13" s="27"/>
      <c r="L13" s="27">
        <v>1.398</v>
      </c>
      <c r="M13" s="27"/>
      <c r="N13" s="27"/>
    </row>
    <row r="14" spans="1:14" ht="12.75" customHeight="1">
      <c r="A14" s="411">
        <v>2</v>
      </c>
      <c r="B14" s="404" t="s">
        <v>104</v>
      </c>
      <c r="C14" s="422" t="s">
        <v>105</v>
      </c>
      <c r="D14" s="373" t="s">
        <v>444</v>
      </c>
      <c r="E14" s="25">
        <f>SUMIF($F17:$F27,$F14,$E17:$E27)</f>
        <v>2268</v>
      </c>
      <c r="F14" s="26">
        <v>1</v>
      </c>
      <c r="G14" s="517">
        <f>SUM(G17:G27)</f>
        <v>8.97</v>
      </c>
      <c r="H14" s="517">
        <f>SUM(H17:H27)</f>
        <v>17140.030000000002</v>
      </c>
      <c r="I14" s="519"/>
      <c r="J14" s="519"/>
      <c r="K14" s="519"/>
      <c r="L14" s="519">
        <f>SUM(L17:L27)</f>
        <v>25.583</v>
      </c>
      <c r="M14" s="519"/>
      <c r="N14" s="519"/>
    </row>
    <row r="15" spans="1:14" ht="12.75" customHeight="1">
      <c r="A15" s="412"/>
      <c r="B15" s="405"/>
      <c r="C15" s="423"/>
      <c r="D15" s="348"/>
      <c r="E15" s="25">
        <f>SUMIF(F18:F28,F15,E18:E28)</f>
        <v>798</v>
      </c>
      <c r="F15" s="26">
        <v>3</v>
      </c>
      <c r="G15" s="518"/>
      <c r="H15" s="518"/>
      <c r="I15" s="520"/>
      <c r="J15" s="520"/>
      <c r="K15" s="520"/>
      <c r="L15" s="520"/>
      <c r="M15" s="520"/>
      <c r="N15" s="520"/>
    </row>
    <row r="16" spans="1:14" ht="12" customHeight="1">
      <c r="A16" s="412"/>
      <c r="B16" s="405"/>
      <c r="C16" s="423"/>
      <c r="D16" s="349"/>
      <c r="E16" s="25">
        <f>SUMIF(F17:F27,F16,E17:E27)+E26+E27</f>
        <v>3066</v>
      </c>
      <c r="F16" s="26">
        <v>5</v>
      </c>
      <c r="G16" s="493"/>
      <c r="H16" s="493"/>
      <c r="I16" s="521"/>
      <c r="J16" s="521"/>
      <c r="K16" s="521"/>
      <c r="L16" s="521"/>
      <c r="M16" s="521"/>
      <c r="N16" s="521"/>
    </row>
    <row r="17" spans="1:14" ht="12.75">
      <c r="A17" s="412"/>
      <c r="B17" s="405"/>
      <c r="C17" s="512"/>
      <c r="D17" s="373">
        <v>2011</v>
      </c>
      <c r="E17" s="25">
        <v>60</v>
      </c>
      <c r="F17" s="26">
        <v>1</v>
      </c>
      <c r="G17" s="517">
        <v>1.91</v>
      </c>
      <c r="H17" s="517">
        <v>3579.39</v>
      </c>
      <c r="I17" s="519"/>
      <c r="J17" s="519"/>
      <c r="K17" s="519"/>
      <c r="L17" s="519">
        <v>5.453</v>
      </c>
      <c r="M17" s="519"/>
      <c r="N17" s="519"/>
    </row>
    <row r="18" spans="1:14" ht="12.75">
      <c r="A18" s="412"/>
      <c r="B18" s="405"/>
      <c r="C18" s="512"/>
      <c r="D18" s="348"/>
      <c r="E18" s="25">
        <v>397</v>
      </c>
      <c r="F18" s="26">
        <v>3</v>
      </c>
      <c r="G18" s="518"/>
      <c r="H18" s="518"/>
      <c r="I18" s="520"/>
      <c r="J18" s="520"/>
      <c r="K18" s="520"/>
      <c r="L18" s="520"/>
      <c r="M18" s="520"/>
      <c r="N18" s="520"/>
    </row>
    <row r="19" spans="1:14" ht="12.75">
      <c r="A19" s="412"/>
      <c r="B19" s="405"/>
      <c r="C19" s="512"/>
      <c r="D19" s="349"/>
      <c r="E19" s="25">
        <v>457</v>
      </c>
      <c r="F19" s="26">
        <v>5</v>
      </c>
      <c r="G19" s="493"/>
      <c r="H19" s="493"/>
      <c r="I19" s="521"/>
      <c r="J19" s="521"/>
      <c r="K19" s="521"/>
      <c r="L19" s="521"/>
      <c r="M19" s="521"/>
      <c r="N19" s="521"/>
    </row>
    <row r="20" spans="1:14" ht="12.75">
      <c r="A20" s="412"/>
      <c r="B20" s="405"/>
      <c r="C20" s="512"/>
      <c r="D20" s="373">
        <v>2012</v>
      </c>
      <c r="E20" s="25">
        <v>1060</v>
      </c>
      <c r="F20" s="26">
        <v>1</v>
      </c>
      <c r="G20" s="517">
        <v>1.76</v>
      </c>
      <c r="H20" s="517">
        <v>3385.32</v>
      </c>
      <c r="I20" s="519"/>
      <c r="J20" s="519"/>
      <c r="K20" s="519"/>
      <c r="L20" s="519">
        <v>5.017</v>
      </c>
      <c r="M20" s="519"/>
      <c r="N20" s="519"/>
    </row>
    <row r="21" spans="1:14" ht="12.75">
      <c r="A21" s="412"/>
      <c r="B21" s="405"/>
      <c r="C21" s="512"/>
      <c r="D21" s="348"/>
      <c r="E21" s="25">
        <v>202</v>
      </c>
      <c r="F21" s="26">
        <v>3</v>
      </c>
      <c r="G21" s="518"/>
      <c r="H21" s="518"/>
      <c r="I21" s="520"/>
      <c r="J21" s="520"/>
      <c r="K21" s="520"/>
      <c r="L21" s="520"/>
      <c r="M21" s="520"/>
      <c r="N21" s="520"/>
    </row>
    <row r="22" spans="1:14" ht="12.75">
      <c r="A22" s="394"/>
      <c r="B22" s="353"/>
      <c r="C22" s="362"/>
      <c r="D22" s="349"/>
      <c r="E22" s="25">
        <v>1262</v>
      </c>
      <c r="F22" s="26">
        <v>5</v>
      </c>
      <c r="G22" s="493"/>
      <c r="H22" s="493"/>
      <c r="I22" s="521"/>
      <c r="J22" s="521"/>
      <c r="K22" s="521"/>
      <c r="L22" s="521"/>
      <c r="M22" s="521"/>
      <c r="N22" s="521"/>
    </row>
    <row r="23" spans="1:14" ht="12.75">
      <c r="A23" s="394"/>
      <c r="B23" s="353"/>
      <c r="C23" s="362"/>
      <c r="D23" s="373">
        <v>2013</v>
      </c>
      <c r="E23" s="25">
        <v>750</v>
      </c>
      <c r="F23" s="26">
        <v>1</v>
      </c>
      <c r="G23" s="517">
        <v>1.78</v>
      </c>
      <c r="H23" s="517">
        <v>3410.21</v>
      </c>
      <c r="I23" s="519"/>
      <c r="J23" s="519"/>
      <c r="K23" s="519"/>
      <c r="L23" s="519">
        <v>5.076</v>
      </c>
      <c r="M23" s="519"/>
      <c r="N23" s="519"/>
    </row>
    <row r="24" spans="1:14" ht="10.5" customHeight="1">
      <c r="A24" s="394"/>
      <c r="B24" s="353"/>
      <c r="C24" s="362"/>
      <c r="D24" s="348"/>
      <c r="E24" s="25">
        <v>199</v>
      </c>
      <c r="F24" s="26">
        <v>3</v>
      </c>
      <c r="G24" s="518"/>
      <c r="H24" s="518"/>
      <c r="I24" s="520"/>
      <c r="J24" s="520"/>
      <c r="K24" s="520"/>
      <c r="L24" s="520"/>
      <c r="M24" s="520"/>
      <c r="N24" s="520"/>
    </row>
    <row r="25" spans="1:14" ht="10.5" customHeight="1">
      <c r="A25" s="394"/>
      <c r="B25" s="353"/>
      <c r="C25" s="362"/>
      <c r="D25" s="349"/>
      <c r="E25" s="25">
        <v>949</v>
      </c>
      <c r="F25" s="26">
        <v>5</v>
      </c>
      <c r="G25" s="493"/>
      <c r="H25" s="493"/>
      <c r="I25" s="521"/>
      <c r="J25" s="521"/>
      <c r="K25" s="521"/>
      <c r="L25" s="521"/>
      <c r="M25" s="521"/>
      <c r="N25" s="521"/>
    </row>
    <row r="26" spans="1:14" ht="9.75" customHeight="1">
      <c r="A26" s="394"/>
      <c r="B26" s="353"/>
      <c r="C26" s="362"/>
      <c r="D26" s="32">
        <v>2014</v>
      </c>
      <c r="E26" s="25">
        <v>199</v>
      </c>
      <c r="F26" s="26">
        <v>1</v>
      </c>
      <c r="G26" s="25">
        <v>1.77</v>
      </c>
      <c r="H26" s="25">
        <v>3399.3</v>
      </c>
      <c r="I26" s="27"/>
      <c r="J26" s="27"/>
      <c r="K26" s="27"/>
      <c r="L26" s="27">
        <v>5.052</v>
      </c>
      <c r="M26" s="27"/>
      <c r="N26" s="27"/>
    </row>
    <row r="27" spans="1:14" ht="10.5" customHeight="1">
      <c r="A27" s="413"/>
      <c r="B27" s="354"/>
      <c r="C27" s="363"/>
      <c r="D27" s="32">
        <v>2015</v>
      </c>
      <c r="E27" s="25">
        <v>199</v>
      </c>
      <c r="F27" s="26">
        <v>1</v>
      </c>
      <c r="G27" s="25">
        <v>1.75</v>
      </c>
      <c r="H27" s="25">
        <v>3365.81</v>
      </c>
      <c r="I27" s="27"/>
      <c r="J27" s="27"/>
      <c r="K27" s="27"/>
      <c r="L27" s="27">
        <v>4.985</v>
      </c>
      <c r="M27" s="27"/>
      <c r="N27" s="27"/>
    </row>
    <row r="28" spans="1:14" ht="45">
      <c r="A28" s="41">
        <v>3</v>
      </c>
      <c r="B28" s="42" t="s">
        <v>481</v>
      </c>
      <c r="C28" s="43"/>
      <c r="D28" s="24"/>
      <c r="E28" s="25"/>
      <c r="F28" s="26"/>
      <c r="G28" s="25"/>
      <c r="H28" s="25"/>
      <c r="I28" s="27"/>
      <c r="J28" s="27"/>
      <c r="K28" s="27"/>
      <c r="L28" s="27"/>
      <c r="M28" s="27"/>
      <c r="N28" s="27"/>
    </row>
    <row r="29" spans="1:14" ht="12.75" customHeight="1">
      <c r="A29" s="443" t="s">
        <v>106</v>
      </c>
      <c r="B29" s="424" t="s">
        <v>107</v>
      </c>
      <c r="C29" s="439" t="s">
        <v>482</v>
      </c>
      <c r="D29" s="373" t="s">
        <v>444</v>
      </c>
      <c r="E29" s="25">
        <f>SUMIF($F32:$F44,$F29,$E32:$E44)</f>
        <v>4225</v>
      </c>
      <c r="F29" s="26">
        <v>1</v>
      </c>
      <c r="G29" s="517">
        <f>SUM(G32:G44)</f>
        <v>59.03999999999999</v>
      </c>
      <c r="H29" s="517">
        <f>SUM(H32:H44)</f>
        <v>92134.06999999999</v>
      </c>
      <c r="I29" s="519"/>
      <c r="J29" s="519"/>
      <c r="K29" s="519"/>
      <c r="L29" s="519">
        <f>SUM(L32:L44)</f>
        <v>168.215</v>
      </c>
      <c r="M29" s="519"/>
      <c r="N29" s="519"/>
    </row>
    <row r="30" spans="1:14" ht="12" customHeight="1">
      <c r="A30" s="443"/>
      <c r="B30" s="424"/>
      <c r="C30" s="439"/>
      <c r="D30" s="348"/>
      <c r="E30" s="25">
        <f>SUMIF(F32:F44,F30,E32:E44)</f>
        <v>15589.099999999999</v>
      </c>
      <c r="F30" s="26">
        <v>3</v>
      </c>
      <c r="G30" s="518"/>
      <c r="H30" s="518"/>
      <c r="I30" s="520"/>
      <c r="J30" s="520"/>
      <c r="K30" s="520"/>
      <c r="L30" s="520"/>
      <c r="M30" s="520"/>
      <c r="N30" s="520"/>
    </row>
    <row r="31" spans="1:14" ht="12" customHeight="1">
      <c r="A31" s="443"/>
      <c r="B31" s="424"/>
      <c r="C31" s="439"/>
      <c r="D31" s="349"/>
      <c r="E31" s="25">
        <f>SUMIF(F32:F44,F31,E32:E44)+E35</f>
        <v>19814.100000000002</v>
      </c>
      <c r="F31" s="26">
        <v>5</v>
      </c>
      <c r="G31" s="493"/>
      <c r="H31" s="493"/>
      <c r="I31" s="521"/>
      <c r="J31" s="521"/>
      <c r="K31" s="521"/>
      <c r="L31" s="521"/>
      <c r="M31" s="521"/>
      <c r="N31" s="521"/>
    </row>
    <row r="32" spans="1:14" ht="11.25" customHeight="1">
      <c r="A32" s="443"/>
      <c r="B32" s="424"/>
      <c r="C32" s="439"/>
      <c r="D32" s="373">
        <v>2011</v>
      </c>
      <c r="E32" s="25">
        <v>2005</v>
      </c>
      <c r="F32" s="26">
        <v>1</v>
      </c>
      <c r="G32" s="517">
        <v>10.39</v>
      </c>
      <c r="H32" s="517">
        <v>15599.69</v>
      </c>
      <c r="I32" s="519"/>
      <c r="J32" s="519"/>
      <c r="K32" s="519"/>
      <c r="L32" s="519">
        <v>29.604</v>
      </c>
      <c r="M32" s="519"/>
      <c r="N32" s="519"/>
    </row>
    <row r="33" spans="1:14" ht="11.25" customHeight="1">
      <c r="A33" s="443"/>
      <c r="B33" s="424"/>
      <c r="C33" s="439"/>
      <c r="D33" s="348"/>
      <c r="E33" s="25">
        <v>2185.3</v>
      </c>
      <c r="F33" s="26">
        <v>3</v>
      </c>
      <c r="G33" s="518"/>
      <c r="H33" s="518"/>
      <c r="I33" s="520"/>
      <c r="J33" s="520"/>
      <c r="K33" s="520"/>
      <c r="L33" s="520"/>
      <c r="M33" s="520"/>
      <c r="N33" s="520"/>
    </row>
    <row r="34" spans="1:14" ht="12.75">
      <c r="A34" s="443"/>
      <c r="B34" s="424"/>
      <c r="C34" s="439"/>
      <c r="D34" s="349"/>
      <c r="E34" s="25">
        <v>4190.3</v>
      </c>
      <c r="F34" s="26">
        <v>5</v>
      </c>
      <c r="G34" s="493"/>
      <c r="H34" s="493"/>
      <c r="I34" s="521"/>
      <c r="J34" s="521"/>
      <c r="K34" s="521"/>
      <c r="L34" s="521"/>
      <c r="M34" s="521"/>
      <c r="N34" s="521"/>
    </row>
    <row r="35" spans="1:14" ht="12.75">
      <c r="A35" s="443"/>
      <c r="B35" s="424"/>
      <c r="C35" s="439"/>
      <c r="D35" s="34">
        <v>2012</v>
      </c>
      <c r="E35" s="25">
        <v>2793.2</v>
      </c>
      <c r="F35" s="26">
        <v>3</v>
      </c>
      <c r="G35" s="35">
        <v>10.65</v>
      </c>
      <c r="H35" s="35">
        <v>18213.31</v>
      </c>
      <c r="I35" s="36"/>
      <c r="J35" s="36"/>
      <c r="K35" s="36"/>
      <c r="L35" s="36">
        <v>30.337</v>
      </c>
      <c r="M35" s="36"/>
      <c r="N35" s="36"/>
    </row>
    <row r="36" spans="1:14" ht="12.75">
      <c r="A36" s="443"/>
      <c r="B36" s="424"/>
      <c r="C36" s="439"/>
      <c r="D36" s="373">
        <v>2013</v>
      </c>
      <c r="E36" s="25">
        <v>420</v>
      </c>
      <c r="F36" s="26">
        <v>1</v>
      </c>
      <c r="G36" s="517">
        <v>12.04</v>
      </c>
      <c r="H36" s="517">
        <v>18366.26</v>
      </c>
      <c r="I36" s="519"/>
      <c r="J36" s="519"/>
      <c r="K36" s="519"/>
      <c r="L36" s="519">
        <v>34.309</v>
      </c>
      <c r="M36" s="519"/>
      <c r="N36" s="519"/>
    </row>
    <row r="37" spans="1:14" ht="12.75">
      <c r="A37" s="443"/>
      <c r="B37" s="424"/>
      <c r="C37" s="439"/>
      <c r="D37" s="348"/>
      <c r="E37" s="25">
        <v>3187.2</v>
      </c>
      <c r="F37" s="26">
        <v>3</v>
      </c>
      <c r="G37" s="518"/>
      <c r="H37" s="518"/>
      <c r="I37" s="520"/>
      <c r="J37" s="520"/>
      <c r="K37" s="520"/>
      <c r="L37" s="520"/>
      <c r="M37" s="520"/>
      <c r="N37" s="520"/>
    </row>
    <row r="38" spans="1:14" ht="12.75">
      <c r="A38" s="443"/>
      <c r="B38" s="424"/>
      <c r="C38" s="439"/>
      <c r="D38" s="349"/>
      <c r="E38" s="25">
        <v>3607.2</v>
      </c>
      <c r="F38" s="26">
        <v>5</v>
      </c>
      <c r="G38" s="493"/>
      <c r="H38" s="493"/>
      <c r="I38" s="521"/>
      <c r="J38" s="521"/>
      <c r="K38" s="521"/>
      <c r="L38" s="521"/>
      <c r="M38" s="521"/>
      <c r="N38" s="521"/>
    </row>
    <row r="39" spans="1:14" ht="13.5" customHeight="1">
      <c r="A39" s="418"/>
      <c r="B39" s="403"/>
      <c r="C39" s="439" t="s">
        <v>470</v>
      </c>
      <c r="D39" s="373">
        <v>2014</v>
      </c>
      <c r="E39" s="25">
        <v>1500</v>
      </c>
      <c r="F39" s="26">
        <v>1</v>
      </c>
      <c r="G39" s="517">
        <v>12.91</v>
      </c>
      <c r="H39" s="517">
        <v>19702.22</v>
      </c>
      <c r="I39" s="519"/>
      <c r="J39" s="519"/>
      <c r="K39" s="519"/>
      <c r="L39" s="519">
        <v>36.786</v>
      </c>
      <c r="M39" s="519"/>
      <c r="N39" s="519"/>
    </row>
    <row r="40" spans="1:14" ht="12.75">
      <c r="A40" s="418"/>
      <c r="B40" s="403"/>
      <c r="C40" s="439"/>
      <c r="D40" s="348"/>
      <c r="E40" s="25">
        <v>3680.2</v>
      </c>
      <c r="F40" s="26">
        <v>3</v>
      </c>
      <c r="G40" s="518"/>
      <c r="H40" s="518"/>
      <c r="I40" s="520"/>
      <c r="J40" s="520"/>
      <c r="K40" s="520"/>
      <c r="L40" s="520"/>
      <c r="M40" s="520"/>
      <c r="N40" s="520"/>
    </row>
    <row r="41" spans="1:14" ht="12.75">
      <c r="A41" s="418"/>
      <c r="B41" s="403"/>
      <c r="C41" s="439"/>
      <c r="D41" s="349"/>
      <c r="E41" s="25">
        <v>5180.2</v>
      </c>
      <c r="F41" s="26">
        <v>5</v>
      </c>
      <c r="G41" s="493"/>
      <c r="H41" s="493"/>
      <c r="I41" s="521"/>
      <c r="J41" s="521"/>
      <c r="K41" s="521"/>
      <c r="L41" s="521"/>
      <c r="M41" s="521"/>
      <c r="N41" s="521"/>
    </row>
    <row r="42" spans="1:14" ht="12.75">
      <c r="A42" s="418"/>
      <c r="B42" s="403"/>
      <c r="C42" s="439"/>
      <c r="D42" s="373">
        <v>2015</v>
      </c>
      <c r="E42" s="25">
        <v>300</v>
      </c>
      <c r="F42" s="26">
        <v>1</v>
      </c>
      <c r="G42" s="517">
        <v>13.05</v>
      </c>
      <c r="H42" s="517">
        <v>20252.59</v>
      </c>
      <c r="I42" s="519"/>
      <c r="J42" s="519"/>
      <c r="K42" s="519"/>
      <c r="L42" s="519">
        <v>37.179</v>
      </c>
      <c r="M42" s="519"/>
      <c r="N42" s="519"/>
    </row>
    <row r="43" spans="1:14" ht="12.75">
      <c r="A43" s="418"/>
      <c r="B43" s="403"/>
      <c r="C43" s="439"/>
      <c r="D43" s="348"/>
      <c r="E43" s="25">
        <v>3743.2</v>
      </c>
      <c r="F43" s="26">
        <v>3</v>
      </c>
      <c r="G43" s="518"/>
      <c r="H43" s="518"/>
      <c r="I43" s="520"/>
      <c r="J43" s="520"/>
      <c r="K43" s="520"/>
      <c r="L43" s="520"/>
      <c r="M43" s="520"/>
      <c r="N43" s="520"/>
    </row>
    <row r="44" spans="1:14" ht="12.75">
      <c r="A44" s="418"/>
      <c r="B44" s="403"/>
      <c r="C44" s="439"/>
      <c r="D44" s="349"/>
      <c r="E44" s="25">
        <v>4043.2</v>
      </c>
      <c r="F44" s="26">
        <v>5</v>
      </c>
      <c r="G44" s="493"/>
      <c r="H44" s="493"/>
      <c r="I44" s="521"/>
      <c r="J44" s="521"/>
      <c r="K44" s="521"/>
      <c r="L44" s="521"/>
      <c r="M44" s="521"/>
      <c r="N44" s="521"/>
    </row>
    <row r="45" spans="1:14" ht="16.5" customHeight="1">
      <c r="A45" s="444" t="s">
        <v>108</v>
      </c>
      <c r="B45" s="404" t="s">
        <v>1</v>
      </c>
      <c r="C45" s="422" t="s">
        <v>0</v>
      </c>
      <c r="D45" s="373" t="s">
        <v>450</v>
      </c>
      <c r="E45" s="25">
        <f>SUMIF($F48:$F62,$F45,$E48:$E62)</f>
        <v>78659</v>
      </c>
      <c r="F45" s="26">
        <v>1</v>
      </c>
      <c r="G45" s="517">
        <f>SUM(G48:G62)</f>
        <v>124.39</v>
      </c>
      <c r="H45" s="517">
        <f>SUM(H48:H62)</f>
        <v>192674.54</v>
      </c>
      <c r="I45" s="519"/>
      <c r="J45" s="519"/>
      <c r="K45" s="519"/>
      <c r="L45" s="519">
        <f>SUM(L48:L62)</f>
        <v>354.38599999999997</v>
      </c>
      <c r="M45" s="519"/>
      <c r="N45" s="519"/>
    </row>
    <row r="46" spans="1:14" ht="17.25" customHeight="1">
      <c r="A46" s="515"/>
      <c r="B46" s="405"/>
      <c r="C46" s="512"/>
      <c r="D46" s="348"/>
      <c r="E46" s="25">
        <f>SUMIF(F48:F62,F46,E48:E62)</f>
        <v>31845</v>
      </c>
      <c r="F46" s="26">
        <v>3</v>
      </c>
      <c r="G46" s="518"/>
      <c r="H46" s="518"/>
      <c r="I46" s="520"/>
      <c r="J46" s="520"/>
      <c r="K46" s="520"/>
      <c r="L46" s="520"/>
      <c r="M46" s="520"/>
      <c r="N46" s="520"/>
    </row>
    <row r="47" spans="1:14" ht="16.5" customHeight="1">
      <c r="A47" s="515"/>
      <c r="B47" s="405"/>
      <c r="C47" s="512"/>
      <c r="D47" s="349"/>
      <c r="E47" s="25">
        <f>SUMIF(F48:F62,F47,E48:E62)</f>
        <v>110504</v>
      </c>
      <c r="F47" s="26">
        <v>5</v>
      </c>
      <c r="G47" s="493"/>
      <c r="H47" s="493"/>
      <c r="I47" s="521"/>
      <c r="J47" s="521"/>
      <c r="K47" s="521"/>
      <c r="L47" s="521"/>
      <c r="M47" s="521"/>
      <c r="N47" s="521"/>
    </row>
    <row r="48" spans="1:14" ht="15.75" customHeight="1">
      <c r="A48" s="515"/>
      <c r="B48" s="405"/>
      <c r="C48" s="512"/>
      <c r="D48" s="373">
        <v>2011</v>
      </c>
      <c r="E48" s="25">
        <v>10370</v>
      </c>
      <c r="F48" s="26">
        <v>1</v>
      </c>
      <c r="G48" s="517">
        <v>20.21</v>
      </c>
      <c r="H48" s="517">
        <v>29955.26</v>
      </c>
      <c r="I48" s="519"/>
      <c r="J48" s="519"/>
      <c r="K48" s="519"/>
      <c r="L48" s="519">
        <v>57.573</v>
      </c>
      <c r="M48" s="519"/>
      <c r="N48" s="519"/>
    </row>
    <row r="49" spans="1:14" ht="14.25" customHeight="1">
      <c r="A49" s="515"/>
      <c r="B49" s="405"/>
      <c r="C49" s="512"/>
      <c r="D49" s="348"/>
      <c r="E49" s="25">
        <v>5833</v>
      </c>
      <c r="F49" s="26">
        <v>3</v>
      </c>
      <c r="G49" s="518"/>
      <c r="H49" s="518"/>
      <c r="I49" s="520"/>
      <c r="J49" s="520"/>
      <c r="K49" s="520"/>
      <c r="L49" s="520"/>
      <c r="M49" s="520"/>
      <c r="N49" s="520"/>
    </row>
    <row r="50" spans="1:14" ht="15" customHeight="1">
      <c r="A50" s="515"/>
      <c r="B50" s="405"/>
      <c r="C50" s="512"/>
      <c r="D50" s="349"/>
      <c r="E50" s="25">
        <v>16203</v>
      </c>
      <c r="F50" s="26">
        <v>5</v>
      </c>
      <c r="G50" s="493"/>
      <c r="H50" s="493"/>
      <c r="I50" s="521"/>
      <c r="J50" s="521"/>
      <c r="K50" s="521"/>
      <c r="L50" s="521"/>
      <c r="M50" s="521"/>
      <c r="N50" s="521"/>
    </row>
    <row r="51" spans="1:14" ht="15.75" customHeight="1">
      <c r="A51" s="515"/>
      <c r="B51" s="405"/>
      <c r="C51" s="512"/>
      <c r="D51" s="373">
        <v>2012</v>
      </c>
      <c r="E51" s="25">
        <v>12985</v>
      </c>
      <c r="F51" s="26">
        <v>1</v>
      </c>
      <c r="G51" s="517">
        <v>22.49</v>
      </c>
      <c r="H51" s="517">
        <v>33837.62</v>
      </c>
      <c r="I51" s="519"/>
      <c r="J51" s="519"/>
      <c r="K51" s="519"/>
      <c r="L51" s="519">
        <v>64.062</v>
      </c>
      <c r="M51" s="519"/>
      <c r="N51" s="519"/>
    </row>
    <row r="52" spans="1:14" ht="15.75" customHeight="1">
      <c r="A52" s="515"/>
      <c r="B52" s="405"/>
      <c r="C52" s="512"/>
      <c r="D52" s="348"/>
      <c r="E52" s="25">
        <v>6461</v>
      </c>
      <c r="F52" s="26">
        <v>3</v>
      </c>
      <c r="G52" s="518"/>
      <c r="H52" s="518"/>
      <c r="I52" s="520"/>
      <c r="J52" s="520"/>
      <c r="K52" s="520"/>
      <c r="L52" s="520"/>
      <c r="M52" s="520"/>
      <c r="N52" s="520"/>
    </row>
    <row r="53" spans="1:14" ht="15.75" customHeight="1">
      <c r="A53" s="515"/>
      <c r="B53" s="405"/>
      <c r="C53" s="512"/>
      <c r="D53" s="349"/>
      <c r="E53" s="25">
        <v>19446</v>
      </c>
      <c r="F53" s="26">
        <v>5</v>
      </c>
      <c r="G53" s="493"/>
      <c r="H53" s="493"/>
      <c r="I53" s="521"/>
      <c r="J53" s="521"/>
      <c r="K53" s="521"/>
      <c r="L53" s="521"/>
      <c r="M53" s="521"/>
      <c r="N53" s="521"/>
    </row>
    <row r="54" spans="1:14" ht="17.25" customHeight="1">
      <c r="A54" s="515"/>
      <c r="B54" s="405"/>
      <c r="C54" s="512"/>
      <c r="D54" s="373">
        <v>2013</v>
      </c>
      <c r="E54" s="25">
        <v>17815</v>
      </c>
      <c r="F54" s="26">
        <v>1</v>
      </c>
      <c r="G54" s="517">
        <v>25.28</v>
      </c>
      <c r="H54" s="517">
        <v>38812.17</v>
      </c>
      <c r="I54" s="519"/>
      <c r="J54" s="519"/>
      <c r="K54" s="519"/>
      <c r="L54" s="519">
        <v>72.016</v>
      </c>
      <c r="M54" s="519"/>
      <c r="N54" s="519"/>
    </row>
    <row r="55" spans="1:14" ht="16.5" customHeight="1">
      <c r="A55" s="515"/>
      <c r="B55" s="405"/>
      <c r="C55" s="512"/>
      <c r="D55" s="348"/>
      <c r="E55" s="25">
        <v>5745</v>
      </c>
      <c r="F55" s="26">
        <v>3</v>
      </c>
      <c r="G55" s="518"/>
      <c r="H55" s="518"/>
      <c r="I55" s="520"/>
      <c r="J55" s="520"/>
      <c r="K55" s="520"/>
      <c r="L55" s="520"/>
      <c r="M55" s="520"/>
      <c r="N55" s="520"/>
    </row>
    <row r="56" spans="1:14" ht="16.5" customHeight="1">
      <c r="A56" s="515"/>
      <c r="B56" s="405"/>
      <c r="C56" s="512"/>
      <c r="D56" s="349"/>
      <c r="E56" s="25">
        <v>23560</v>
      </c>
      <c r="F56" s="26">
        <v>5</v>
      </c>
      <c r="G56" s="493"/>
      <c r="H56" s="493"/>
      <c r="I56" s="521"/>
      <c r="J56" s="521"/>
      <c r="K56" s="521"/>
      <c r="L56" s="521"/>
      <c r="M56" s="521"/>
      <c r="N56" s="521"/>
    </row>
    <row r="57" spans="1:14" ht="16.5" customHeight="1">
      <c r="A57" s="515"/>
      <c r="B57" s="405"/>
      <c r="C57" s="512"/>
      <c r="D57" s="373">
        <v>2014</v>
      </c>
      <c r="E57" s="25">
        <v>21999</v>
      </c>
      <c r="F57" s="26">
        <v>1</v>
      </c>
      <c r="G57" s="517">
        <v>27.83</v>
      </c>
      <c r="H57" s="517">
        <v>43952.11</v>
      </c>
      <c r="I57" s="519"/>
      <c r="J57" s="519"/>
      <c r="K57" s="519"/>
      <c r="L57" s="519">
        <v>79.297</v>
      </c>
      <c r="M57" s="519"/>
      <c r="N57" s="519"/>
    </row>
    <row r="58" spans="1:14" ht="14.25" customHeight="1">
      <c r="A58" s="515"/>
      <c r="B58" s="405"/>
      <c r="C58" s="512"/>
      <c r="D58" s="348"/>
      <c r="E58" s="25">
        <v>6797</v>
      </c>
      <c r="F58" s="26">
        <v>3</v>
      </c>
      <c r="G58" s="518"/>
      <c r="H58" s="518"/>
      <c r="I58" s="520"/>
      <c r="J58" s="520"/>
      <c r="K58" s="520"/>
      <c r="L58" s="520"/>
      <c r="M58" s="520"/>
      <c r="N58" s="520"/>
    </row>
    <row r="59" spans="1:14" ht="13.5" customHeight="1">
      <c r="A59" s="515"/>
      <c r="B59" s="405"/>
      <c r="C59" s="512"/>
      <c r="D59" s="349"/>
      <c r="E59" s="25">
        <v>28796</v>
      </c>
      <c r="F59" s="26">
        <v>5</v>
      </c>
      <c r="G59" s="493"/>
      <c r="H59" s="493"/>
      <c r="I59" s="521"/>
      <c r="J59" s="521"/>
      <c r="K59" s="521"/>
      <c r="L59" s="521"/>
      <c r="M59" s="521"/>
      <c r="N59" s="521"/>
    </row>
    <row r="60" spans="1:14" ht="13.5" customHeight="1">
      <c r="A60" s="515"/>
      <c r="B60" s="405"/>
      <c r="C60" s="512"/>
      <c r="D60" s="373">
        <v>2015</v>
      </c>
      <c r="E60" s="25">
        <v>15490</v>
      </c>
      <c r="F60" s="26">
        <v>1</v>
      </c>
      <c r="G60" s="517">
        <v>28.58</v>
      </c>
      <c r="H60" s="517">
        <v>46117.38</v>
      </c>
      <c r="I60" s="519"/>
      <c r="J60" s="519"/>
      <c r="K60" s="519"/>
      <c r="L60" s="519">
        <v>81.438</v>
      </c>
      <c r="M60" s="519"/>
      <c r="N60" s="519"/>
    </row>
    <row r="61" spans="1:14" ht="12.75" customHeight="1">
      <c r="A61" s="515"/>
      <c r="B61" s="405"/>
      <c r="C61" s="512"/>
      <c r="D61" s="348"/>
      <c r="E61" s="25">
        <v>7009</v>
      </c>
      <c r="F61" s="26">
        <v>3</v>
      </c>
      <c r="G61" s="518"/>
      <c r="H61" s="518"/>
      <c r="I61" s="520"/>
      <c r="J61" s="520"/>
      <c r="K61" s="520"/>
      <c r="L61" s="520"/>
      <c r="M61" s="520"/>
      <c r="N61" s="520"/>
    </row>
    <row r="62" spans="1:14" ht="12.75">
      <c r="A62" s="516"/>
      <c r="B62" s="406"/>
      <c r="C62" s="513"/>
      <c r="D62" s="349"/>
      <c r="E62" s="25">
        <v>22499</v>
      </c>
      <c r="F62" s="26">
        <v>5</v>
      </c>
      <c r="G62" s="493"/>
      <c r="H62" s="493"/>
      <c r="I62" s="521"/>
      <c r="J62" s="521"/>
      <c r="K62" s="521"/>
      <c r="L62" s="521"/>
      <c r="M62" s="521"/>
      <c r="N62" s="521"/>
    </row>
    <row r="63" spans="1:14" ht="12.75">
      <c r="A63" s="417">
        <v>4</v>
      </c>
      <c r="B63" s="424" t="s">
        <v>109</v>
      </c>
      <c r="C63" s="422" t="s">
        <v>2</v>
      </c>
      <c r="D63" s="403" t="s">
        <v>450</v>
      </c>
      <c r="E63" s="25">
        <f>SUMIF($F66:$F80,$F63,$E66:$E80)</f>
        <v>520</v>
      </c>
      <c r="F63" s="26">
        <v>1</v>
      </c>
      <c r="G63" s="350">
        <f>SUM(G66:G80)</f>
        <v>21.650000000000002</v>
      </c>
      <c r="H63" s="350">
        <f>SUM(H66:H80)</f>
        <v>26386.92</v>
      </c>
      <c r="I63" s="467">
        <f>SUM(I66:I80)</f>
        <v>2.1999999999999997</v>
      </c>
      <c r="J63" s="467"/>
      <c r="K63" s="467">
        <f>SUM(K66:K80)</f>
        <v>12.295</v>
      </c>
      <c r="L63" s="467">
        <f>SUM(L66:L80)</f>
        <v>14.206</v>
      </c>
      <c r="M63" s="467">
        <f>SUM(M66:M80)</f>
        <v>34.24</v>
      </c>
      <c r="N63" s="467"/>
    </row>
    <row r="64" spans="1:14" ht="12.75">
      <c r="A64" s="417"/>
      <c r="B64" s="424"/>
      <c r="C64" s="512"/>
      <c r="D64" s="403"/>
      <c r="E64" s="25">
        <f>SUMIF(F66:F80,F64,E66:E80)</f>
        <v>2661</v>
      </c>
      <c r="F64" s="26">
        <v>3</v>
      </c>
      <c r="G64" s="350"/>
      <c r="H64" s="350"/>
      <c r="I64" s="467"/>
      <c r="J64" s="467"/>
      <c r="K64" s="467"/>
      <c r="L64" s="467"/>
      <c r="M64" s="467"/>
      <c r="N64" s="467"/>
    </row>
    <row r="65" spans="1:14" ht="12.75">
      <c r="A65" s="417"/>
      <c r="B65" s="424"/>
      <c r="C65" s="512"/>
      <c r="D65" s="403"/>
      <c r="E65" s="25">
        <f>SUMIF(F66:F80,F65,E66:E80)</f>
        <v>3181</v>
      </c>
      <c r="F65" s="26">
        <v>5</v>
      </c>
      <c r="G65" s="350"/>
      <c r="H65" s="350"/>
      <c r="I65" s="467"/>
      <c r="J65" s="467"/>
      <c r="K65" s="467"/>
      <c r="L65" s="467"/>
      <c r="M65" s="467"/>
      <c r="N65" s="467"/>
    </row>
    <row r="66" spans="1:14" ht="12.75">
      <c r="A66" s="417"/>
      <c r="B66" s="424"/>
      <c r="C66" s="512"/>
      <c r="D66" s="403">
        <v>2011</v>
      </c>
      <c r="E66" s="25">
        <v>230</v>
      </c>
      <c r="F66" s="26">
        <v>1</v>
      </c>
      <c r="G66" s="350">
        <v>3.74</v>
      </c>
      <c r="H66" s="350">
        <v>4617.19</v>
      </c>
      <c r="I66" s="467">
        <v>0.5</v>
      </c>
      <c r="J66" s="467"/>
      <c r="K66" s="467">
        <v>2.219</v>
      </c>
      <c r="L66" s="467">
        <v>1.869</v>
      </c>
      <c r="M66" s="467">
        <v>5.892</v>
      </c>
      <c r="N66" s="467"/>
    </row>
    <row r="67" spans="1:14" ht="12.75">
      <c r="A67" s="417"/>
      <c r="B67" s="424"/>
      <c r="C67" s="512"/>
      <c r="D67" s="403"/>
      <c r="E67" s="25">
        <v>451</v>
      </c>
      <c r="F67" s="26">
        <v>3</v>
      </c>
      <c r="G67" s="350"/>
      <c r="H67" s="350"/>
      <c r="I67" s="467"/>
      <c r="J67" s="467"/>
      <c r="K67" s="467"/>
      <c r="L67" s="467"/>
      <c r="M67" s="467"/>
      <c r="N67" s="467"/>
    </row>
    <row r="68" spans="1:14" ht="12.75">
      <c r="A68" s="417"/>
      <c r="B68" s="424"/>
      <c r="C68" s="512"/>
      <c r="D68" s="403"/>
      <c r="E68" s="25">
        <v>681</v>
      </c>
      <c r="F68" s="26">
        <v>5</v>
      </c>
      <c r="G68" s="350"/>
      <c r="H68" s="350"/>
      <c r="I68" s="467"/>
      <c r="J68" s="467"/>
      <c r="K68" s="467"/>
      <c r="L68" s="467"/>
      <c r="M68" s="467"/>
      <c r="N68" s="467"/>
    </row>
    <row r="69" spans="1:14" ht="12.75">
      <c r="A69" s="417"/>
      <c r="B69" s="424"/>
      <c r="C69" s="512"/>
      <c r="D69" s="403">
        <v>2012</v>
      </c>
      <c r="E69" s="25">
        <v>60</v>
      </c>
      <c r="F69" s="26">
        <v>1</v>
      </c>
      <c r="G69" s="350">
        <v>3.98</v>
      </c>
      <c r="H69" s="350">
        <v>4711.96</v>
      </c>
      <c r="I69" s="467">
        <v>0.45</v>
      </c>
      <c r="J69" s="467"/>
      <c r="K69" s="467">
        <v>2.376</v>
      </c>
      <c r="L69" s="467">
        <v>2.122</v>
      </c>
      <c r="M69" s="467">
        <v>6.489</v>
      </c>
      <c r="N69" s="467"/>
    </row>
    <row r="70" spans="1:14" ht="12.75">
      <c r="A70" s="417"/>
      <c r="B70" s="424"/>
      <c r="C70" s="512"/>
      <c r="D70" s="403"/>
      <c r="E70" s="25">
        <v>462</v>
      </c>
      <c r="F70" s="26">
        <v>3</v>
      </c>
      <c r="G70" s="350"/>
      <c r="H70" s="350"/>
      <c r="I70" s="467"/>
      <c r="J70" s="467"/>
      <c r="K70" s="467"/>
      <c r="L70" s="467"/>
      <c r="M70" s="467"/>
      <c r="N70" s="467"/>
    </row>
    <row r="71" spans="1:14" ht="12.75">
      <c r="A71" s="417"/>
      <c r="B71" s="424"/>
      <c r="C71" s="512"/>
      <c r="D71" s="403"/>
      <c r="E71" s="25">
        <v>522</v>
      </c>
      <c r="F71" s="26">
        <v>5</v>
      </c>
      <c r="G71" s="350"/>
      <c r="H71" s="350"/>
      <c r="I71" s="467"/>
      <c r="J71" s="467"/>
      <c r="K71" s="467"/>
      <c r="L71" s="467"/>
      <c r="M71" s="467"/>
      <c r="N71" s="467"/>
    </row>
    <row r="72" spans="1:14" ht="12.75">
      <c r="A72" s="417"/>
      <c r="B72" s="424"/>
      <c r="C72" s="512"/>
      <c r="D72" s="403">
        <v>2013</v>
      </c>
      <c r="E72" s="25">
        <v>110</v>
      </c>
      <c r="F72" s="26">
        <v>1</v>
      </c>
      <c r="G72" s="350">
        <v>4.88</v>
      </c>
      <c r="H72" s="350">
        <v>6004.9</v>
      </c>
      <c r="I72" s="467">
        <v>0.45</v>
      </c>
      <c r="J72" s="467"/>
      <c r="K72" s="467">
        <v>2.548</v>
      </c>
      <c r="L72" s="467">
        <v>4.098</v>
      </c>
      <c r="M72" s="467">
        <v>7.056</v>
      </c>
      <c r="N72" s="467"/>
    </row>
    <row r="73" spans="1:14" ht="12.75">
      <c r="A73" s="417"/>
      <c r="B73" s="424"/>
      <c r="C73" s="512"/>
      <c r="D73" s="403"/>
      <c r="E73" s="25">
        <v>459</v>
      </c>
      <c r="F73" s="26">
        <v>3</v>
      </c>
      <c r="G73" s="350"/>
      <c r="H73" s="350"/>
      <c r="I73" s="467"/>
      <c r="J73" s="467"/>
      <c r="K73" s="467"/>
      <c r="L73" s="467"/>
      <c r="M73" s="467"/>
      <c r="N73" s="467"/>
    </row>
    <row r="74" spans="1:14" ht="12.75">
      <c r="A74" s="417"/>
      <c r="B74" s="424"/>
      <c r="C74" s="512"/>
      <c r="D74" s="403"/>
      <c r="E74" s="25">
        <v>569</v>
      </c>
      <c r="F74" s="26">
        <v>5</v>
      </c>
      <c r="G74" s="350"/>
      <c r="H74" s="350"/>
      <c r="I74" s="467"/>
      <c r="J74" s="467"/>
      <c r="K74" s="467"/>
      <c r="L74" s="467"/>
      <c r="M74" s="467"/>
      <c r="N74" s="467"/>
    </row>
    <row r="75" spans="1:14" ht="12.75">
      <c r="A75" s="417"/>
      <c r="B75" s="424"/>
      <c r="C75" s="512"/>
      <c r="D75" s="403">
        <v>2014</v>
      </c>
      <c r="E75" s="25">
        <v>60</v>
      </c>
      <c r="F75" s="26">
        <v>1</v>
      </c>
      <c r="G75" s="350">
        <v>4.85</v>
      </c>
      <c r="H75" s="350">
        <v>5940.68</v>
      </c>
      <c r="I75" s="467">
        <v>0.4</v>
      </c>
      <c r="J75" s="467"/>
      <c r="K75" s="467">
        <v>2.582</v>
      </c>
      <c r="L75" s="467">
        <v>4.015</v>
      </c>
      <c r="M75" s="467">
        <v>7.291</v>
      </c>
      <c r="N75" s="467"/>
    </row>
    <row r="76" spans="1:14" ht="12.75">
      <c r="A76" s="417"/>
      <c r="B76" s="424"/>
      <c r="C76" s="512"/>
      <c r="D76" s="403"/>
      <c r="E76" s="25">
        <v>815</v>
      </c>
      <c r="F76" s="26">
        <v>3</v>
      </c>
      <c r="G76" s="350"/>
      <c r="H76" s="350"/>
      <c r="I76" s="467"/>
      <c r="J76" s="467"/>
      <c r="K76" s="467"/>
      <c r="L76" s="467"/>
      <c r="M76" s="467"/>
      <c r="N76" s="467"/>
    </row>
    <row r="77" spans="1:14" ht="12.75">
      <c r="A77" s="417"/>
      <c r="B77" s="424"/>
      <c r="C77" s="512"/>
      <c r="D77" s="403"/>
      <c r="E77" s="25">
        <v>875</v>
      </c>
      <c r="F77" s="26">
        <v>5</v>
      </c>
      <c r="G77" s="350"/>
      <c r="H77" s="350"/>
      <c r="I77" s="467"/>
      <c r="J77" s="467"/>
      <c r="K77" s="467"/>
      <c r="L77" s="467"/>
      <c r="M77" s="467"/>
      <c r="N77" s="467"/>
    </row>
    <row r="78" spans="1:14" ht="12.75">
      <c r="A78" s="417"/>
      <c r="B78" s="424"/>
      <c r="C78" s="512"/>
      <c r="D78" s="403">
        <v>2015</v>
      </c>
      <c r="E78" s="25">
        <v>60</v>
      </c>
      <c r="F78" s="26">
        <v>1</v>
      </c>
      <c r="G78" s="350">
        <v>4.2</v>
      </c>
      <c r="H78" s="350">
        <v>5112.19</v>
      </c>
      <c r="I78" s="467">
        <v>0.4</v>
      </c>
      <c r="J78" s="467"/>
      <c r="K78" s="467">
        <v>2.57</v>
      </c>
      <c r="L78" s="467">
        <v>2.102</v>
      </c>
      <c r="M78" s="467">
        <v>7.512</v>
      </c>
      <c r="N78" s="467"/>
    </row>
    <row r="79" spans="1:14" ht="12.75">
      <c r="A79" s="417"/>
      <c r="B79" s="424"/>
      <c r="C79" s="512"/>
      <c r="D79" s="403"/>
      <c r="E79" s="25">
        <v>474</v>
      </c>
      <c r="F79" s="26">
        <v>3</v>
      </c>
      <c r="G79" s="350"/>
      <c r="H79" s="350"/>
      <c r="I79" s="467"/>
      <c r="J79" s="467"/>
      <c r="K79" s="467"/>
      <c r="L79" s="467"/>
      <c r="M79" s="467"/>
      <c r="N79" s="467"/>
    </row>
    <row r="80" spans="1:14" ht="12.75">
      <c r="A80" s="417"/>
      <c r="B80" s="424"/>
      <c r="C80" s="513"/>
      <c r="D80" s="403"/>
      <c r="E80" s="25">
        <v>534</v>
      </c>
      <c r="F80" s="26">
        <v>5</v>
      </c>
      <c r="G80" s="350"/>
      <c r="H80" s="350"/>
      <c r="I80" s="467"/>
      <c r="J80" s="467"/>
      <c r="K80" s="467"/>
      <c r="L80" s="467"/>
      <c r="M80" s="467"/>
      <c r="N80" s="467"/>
    </row>
    <row r="81" spans="1:14" ht="22.5">
      <c r="A81" s="417">
        <v>5</v>
      </c>
      <c r="B81" s="424" t="s">
        <v>110</v>
      </c>
      <c r="C81" s="514" t="s">
        <v>111</v>
      </c>
      <c r="D81" s="24" t="s">
        <v>444</v>
      </c>
      <c r="E81" s="25">
        <f>SUMIF(F82:F86,F81,E82:E86)</f>
        <v>500</v>
      </c>
      <c r="F81" s="26">
        <v>3</v>
      </c>
      <c r="G81" s="25">
        <f>SUM(G82:G86)</f>
        <v>0.8500000000000001</v>
      </c>
      <c r="H81" s="25">
        <f>SUM(H82:H86)</f>
        <v>1168.48</v>
      </c>
      <c r="I81" s="27"/>
      <c r="J81" s="27"/>
      <c r="K81" s="27"/>
      <c r="L81" s="27"/>
      <c r="M81" s="48">
        <f>SUM(M82:M86)</f>
        <v>5.039</v>
      </c>
      <c r="N81" s="27"/>
    </row>
    <row r="82" spans="1:14" ht="12.75">
      <c r="A82" s="417"/>
      <c r="B82" s="424"/>
      <c r="C82" s="512"/>
      <c r="D82" s="24">
        <v>2011</v>
      </c>
      <c r="E82" s="25">
        <v>100</v>
      </c>
      <c r="F82" s="26">
        <v>3</v>
      </c>
      <c r="G82" s="25">
        <v>0.17</v>
      </c>
      <c r="H82" s="25">
        <v>254.6</v>
      </c>
      <c r="I82" s="27"/>
      <c r="J82" s="27"/>
      <c r="K82" s="27"/>
      <c r="L82" s="27"/>
      <c r="M82" s="27">
        <v>1.161</v>
      </c>
      <c r="N82" s="27"/>
    </row>
    <row r="83" spans="1:14" ht="12.75">
      <c r="A83" s="417"/>
      <c r="B83" s="424"/>
      <c r="C83" s="512"/>
      <c r="D83" s="24">
        <v>2012</v>
      </c>
      <c r="E83" s="25">
        <v>100</v>
      </c>
      <c r="F83" s="26">
        <v>3</v>
      </c>
      <c r="G83" s="25">
        <v>0.17</v>
      </c>
      <c r="H83" s="25">
        <v>262.97</v>
      </c>
      <c r="I83" s="27"/>
      <c r="J83" s="27"/>
      <c r="K83" s="27"/>
      <c r="L83" s="27"/>
      <c r="M83" s="27">
        <v>1.161</v>
      </c>
      <c r="N83" s="27"/>
    </row>
    <row r="84" spans="1:14" ht="12.75">
      <c r="A84" s="417"/>
      <c r="B84" s="424"/>
      <c r="C84" s="512"/>
      <c r="D84" s="24">
        <v>2013</v>
      </c>
      <c r="E84" s="25">
        <v>100</v>
      </c>
      <c r="F84" s="26">
        <v>3</v>
      </c>
      <c r="G84" s="25">
        <v>0.17</v>
      </c>
      <c r="H84" s="25">
        <v>271.67</v>
      </c>
      <c r="I84" s="27"/>
      <c r="J84" s="27"/>
      <c r="K84" s="27"/>
      <c r="L84" s="27"/>
      <c r="M84" s="27">
        <v>1.161</v>
      </c>
      <c r="N84" s="27"/>
    </row>
    <row r="85" spans="1:14" ht="12.75">
      <c r="A85" s="417"/>
      <c r="B85" s="424"/>
      <c r="C85" s="512"/>
      <c r="D85" s="24">
        <v>2014</v>
      </c>
      <c r="E85" s="25">
        <v>100</v>
      </c>
      <c r="F85" s="26">
        <v>3</v>
      </c>
      <c r="G85" s="25">
        <v>0.17</v>
      </c>
      <c r="H85" s="25">
        <v>280.61</v>
      </c>
      <c r="I85" s="27"/>
      <c r="J85" s="27"/>
      <c r="K85" s="27"/>
      <c r="L85" s="27"/>
      <c r="M85" s="27">
        <v>1.161</v>
      </c>
      <c r="N85" s="27"/>
    </row>
    <row r="86" spans="1:14" ht="12.75">
      <c r="A86" s="417"/>
      <c r="B86" s="424"/>
      <c r="C86" s="513"/>
      <c r="D86" s="24">
        <v>2015</v>
      </c>
      <c r="E86" s="25">
        <v>100</v>
      </c>
      <c r="F86" s="26">
        <v>3</v>
      </c>
      <c r="G86" s="25">
        <v>0.17</v>
      </c>
      <c r="H86" s="25">
        <v>98.63</v>
      </c>
      <c r="I86" s="27"/>
      <c r="J86" s="27"/>
      <c r="K86" s="27"/>
      <c r="L86" s="27"/>
      <c r="M86" s="27">
        <v>0.395</v>
      </c>
      <c r="N86" s="27"/>
    </row>
    <row r="87" spans="1:14" ht="22.5">
      <c r="A87" s="417">
        <v>6</v>
      </c>
      <c r="B87" s="424" t="s">
        <v>112</v>
      </c>
      <c r="C87" s="514" t="s">
        <v>111</v>
      </c>
      <c r="D87" s="24" t="s">
        <v>444</v>
      </c>
      <c r="E87" s="25">
        <f>SUMIF(F88:F92,F87,E88:E92)</f>
        <v>1760</v>
      </c>
      <c r="F87" s="26">
        <v>1</v>
      </c>
      <c r="G87" s="25">
        <f>SUM(G88:G92)</f>
        <v>1.5899999999999999</v>
      </c>
      <c r="H87" s="25">
        <f>SUM(H88:H92)</f>
        <v>4930.48</v>
      </c>
      <c r="I87" s="48">
        <f>SUM(I88:I92)</f>
        <v>0.9299999999999999</v>
      </c>
      <c r="J87" s="27"/>
      <c r="K87" s="27"/>
      <c r="L87" s="27"/>
      <c r="M87" s="27">
        <f>SUM(M88:M92)</f>
        <v>3.4880000000000004</v>
      </c>
      <c r="N87" s="27"/>
    </row>
    <row r="88" spans="1:14" ht="12" customHeight="1">
      <c r="A88" s="417"/>
      <c r="B88" s="424"/>
      <c r="C88" s="512"/>
      <c r="D88" s="24">
        <v>2011</v>
      </c>
      <c r="E88" s="25">
        <v>1040</v>
      </c>
      <c r="F88" s="26">
        <v>1</v>
      </c>
      <c r="G88" s="25">
        <v>0.22</v>
      </c>
      <c r="H88" s="25">
        <v>1198.87</v>
      </c>
      <c r="I88" s="27">
        <v>0.186</v>
      </c>
      <c r="J88" s="27"/>
      <c r="K88" s="27"/>
      <c r="L88" s="27"/>
      <c r="M88" s="27"/>
      <c r="N88" s="27"/>
    </row>
    <row r="89" spans="1:14" ht="11.25" customHeight="1">
      <c r="A89" s="417"/>
      <c r="B89" s="424"/>
      <c r="C89" s="512"/>
      <c r="D89" s="24">
        <v>2012</v>
      </c>
      <c r="E89" s="25"/>
      <c r="F89" s="26"/>
      <c r="G89" s="25">
        <v>0.32</v>
      </c>
      <c r="H89" s="25">
        <v>721.93</v>
      </c>
      <c r="I89" s="27">
        <v>0.186</v>
      </c>
      <c r="J89" s="27"/>
      <c r="K89" s="27"/>
      <c r="L89" s="27"/>
      <c r="M89" s="27">
        <v>0.722</v>
      </c>
      <c r="N89" s="27"/>
    </row>
    <row r="90" spans="1:14" ht="12.75">
      <c r="A90" s="417"/>
      <c r="B90" s="424"/>
      <c r="C90" s="512"/>
      <c r="D90" s="24">
        <v>2013</v>
      </c>
      <c r="E90" s="25"/>
      <c r="F90" s="26"/>
      <c r="G90" s="25">
        <v>0.35</v>
      </c>
      <c r="H90" s="25">
        <v>745.75</v>
      </c>
      <c r="I90" s="27">
        <v>0.186</v>
      </c>
      <c r="J90" s="27"/>
      <c r="K90" s="27"/>
      <c r="L90" s="27"/>
      <c r="M90" s="27">
        <v>0.922</v>
      </c>
      <c r="N90" s="27"/>
    </row>
    <row r="91" spans="1:14" ht="12" customHeight="1">
      <c r="A91" s="417"/>
      <c r="B91" s="424"/>
      <c r="C91" s="512"/>
      <c r="D91" s="24">
        <v>2014</v>
      </c>
      <c r="E91" s="25"/>
      <c r="F91" s="26"/>
      <c r="G91" s="25">
        <v>0.35</v>
      </c>
      <c r="H91" s="25">
        <v>770.36</v>
      </c>
      <c r="I91" s="27">
        <v>0.186</v>
      </c>
      <c r="J91" s="27"/>
      <c r="K91" s="27"/>
      <c r="L91" s="27"/>
      <c r="M91" s="27">
        <v>0.922</v>
      </c>
      <c r="N91" s="27"/>
    </row>
    <row r="92" spans="1:14" ht="12.75">
      <c r="A92" s="417"/>
      <c r="B92" s="424"/>
      <c r="C92" s="513"/>
      <c r="D92" s="24">
        <v>2015</v>
      </c>
      <c r="E92" s="25">
        <v>720</v>
      </c>
      <c r="F92" s="26">
        <v>1</v>
      </c>
      <c r="G92" s="25">
        <v>0.35</v>
      </c>
      <c r="H92" s="25">
        <v>1493.57</v>
      </c>
      <c r="I92" s="27">
        <v>0.186</v>
      </c>
      <c r="J92" s="27"/>
      <c r="K92" s="27"/>
      <c r="L92" s="27"/>
      <c r="M92" s="27">
        <v>0.922</v>
      </c>
      <c r="N92" s="27"/>
    </row>
    <row r="93" spans="1:14" ht="12.75">
      <c r="A93" s="417">
        <v>7</v>
      </c>
      <c r="B93" s="424" t="s">
        <v>113</v>
      </c>
      <c r="C93" s="422" t="s">
        <v>114</v>
      </c>
      <c r="D93" s="403" t="s">
        <v>450</v>
      </c>
      <c r="E93" s="25">
        <f>SUMIF($F96:$F110,$F93,$E96:$E110)</f>
        <v>13742.5</v>
      </c>
      <c r="F93" s="26">
        <v>3</v>
      </c>
      <c r="G93" s="350">
        <f>SUM(G96:G110)</f>
        <v>22.78</v>
      </c>
      <c r="H93" s="350">
        <f>SUM(H96:H110)</f>
        <v>58039.88</v>
      </c>
      <c r="I93" s="467"/>
      <c r="J93" s="467"/>
      <c r="K93" s="467"/>
      <c r="L93" s="467">
        <f>SUM(L96:L110)</f>
        <v>64.893</v>
      </c>
      <c r="M93" s="467"/>
      <c r="N93" s="467"/>
    </row>
    <row r="94" spans="1:14" ht="12.75">
      <c r="A94" s="417"/>
      <c r="B94" s="424"/>
      <c r="C94" s="512"/>
      <c r="D94" s="403"/>
      <c r="E94" s="25">
        <f>SUMIF(F96:F110,F94,E96:E110)</f>
        <v>824.0999999999999</v>
      </c>
      <c r="F94" s="26">
        <v>4</v>
      </c>
      <c r="G94" s="350"/>
      <c r="H94" s="350"/>
      <c r="I94" s="467"/>
      <c r="J94" s="467"/>
      <c r="K94" s="467"/>
      <c r="L94" s="467"/>
      <c r="M94" s="467"/>
      <c r="N94" s="467"/>
    </row>
    <row r="95" spans="1:14" ht="12.75">
      <c r="A95" s="417"/>
      <c r="B95" s="424"/>
      <c r="C95" s="512"/>
      <c r="D95" s="403"/>
      <c r="E95" s="25">
        <f>SUMIF(F96:F110,F95,E96:E110)</f>
        <v>14566.6</v>
      </c>
      <c r="F95" s="26">
        <v>5</v>
      </c>
      <c r="G95" s="350"/>
      <c r="H95" s="350"/>
      <c r="I95" s="467"/>
      <c r="J95" s="467"/>
      <c r="K95" s="467"/>
      <c r="L95" s="467"/>
      <c r="M95" s="467"/>
      <c r="N95" s="467"/>
    </row>
    <row r="96" spans="1:14" ht="12.75">
      <c r="A96" s="417"/>
      <c r="B96" s="424"/>
      <c r="C96" s="512"/>
      <c r="D96" s="403">
        <v>2011</v>
      </c>
      <c r="E96" s="25">
        <v>2241.9</v>
      </c>
      <c r="F96" s="26">
        <v>3</v>
      </c>
      <c r="G96" s="350">
        <v>4.33</v>
      </c>
      <c r="H96" s="350">
        <v>9552.31</v>
      </c>
      <c r="I96" s="467"/>
      <c r="J96" s="467"/>
      <c r="K96" s="467"/>
      <c r="L96" s="467">
        <v>12.329</v>
      </c>
      <c r="M96" s="467"/>
      <c r="N96" s="467"/>
    </row>
    <row r="97" spans="1:14" ht="12.75">
      <c r="A97" s="417"/>
      <c r="B97" s="424"/>
      <c r="C97" s="512"/>
      <c r="D97" s="403"/>
      <c r="E97" s="25">
        <v>164.82</v>
      </c>
      <c r="F97" s="26">
        <v>4</v>
      </c>
      <c r="G97" s="350"/>
      <c r="H97" s="350"/>
      <c r="I97" s="467"/>
      <c r="J97" s="467"/>
      <c r="K97" s="467"/>
      <c r="L97" s="467"/>
      <c r="M97" s="467"/>
      <c r="N97" s="467"/>
    </row>
    <row r="98" spans="1:14" ht="12.75">
      <c r="A98" s="417"/>
      <c r="B98" s="424"/>
      <c r="C98" s="512"/>
      <c r="D98" s="403"/>
      <c r="E98" s="25">
        <v>2406.72</v>
      </c>
      <c r="F98" s="26">
        <v>5</v>
      </c>
      <c r="G98" s="350"/>
      <c r="H98" s="350"/>
      <c r="I98" s="467"/>
      <c r="J98" s="467"/>
      <c r="K98" s="467"/>
      <c r="L98" s="467"/>
      <c r="M98" s="467"/>
      <c r="N98" s="467"/>
    </row>
    <row r="99" spans="1:14" ht="12.75">
      <c r="A99" s="417"/>
      <c r="B99" s="424"/>
      <c r="C99" s="512"/>
      <c r="D99" s="403">
        <v>2012</v>
      </c>
      <c r="E99" s="25">
        <v>3426.9</v>
      </c>
      <c r="F99" s="26">
        <v>3</v>
      </c>
      <c r="G99" s="350">
        <v>4.48</v>
      </c>
      <c r="H99" s="350">
        <v>10298.1</v>
      </c>
      <c r="I99" s="467"/>
      <c r="J99" s="467"/>
      <c r="K99" s="467"/>
      <c r="L99" s="467">
        <v>12.753</v>
      </c>
      <c r="M99" s="467"/>
      <c r="N99" s="467"/>
    </row>
    <row r="100" spans="1:14" ht="12.75">
      <c r="A100" s="417"/>
      <c r="B100" s="424"/>
      <c r="C100" s="512"/>
      <c r="D100" s="403"/>
      <c r="E100" s="25">
        <v>164.82</v>
      </c>
      <c r="F100" s="26">
        <v>4</v>
      </c>
      <c r="G100" s="350"/>
      <c r="H100" s="350"/>
      <c r="I100" s="467"/>
      <c r="J100" s="467"/>
      <c r="K100" s="467"/>
      <c r="L100" s="467"/>
      <c r="M100" s="467"/>
      <c r="N100" s="467"/>
    </row>
    <row r="101" spans="1:14" ht="12.75">
      <c r="A101" s="417"/>
      <c r="B101" s="424"/>
      <c r="C101" s="512"/>
      <c r="D101" s="403"/>
      <c r="E101" s="25">
        <v>3591.72</v>
      </c>
      <c r="F101" s="26">
        <v>5</v>
      </c>
      <c r="G101" s="350"/>
      <c r="H101" s="350"/>
      <c r="I101" s="467"/>
      <c r="J101" s="467"/>
      <c r="K101" s="467"/>
      <c r="L101" s="467"/>
      <c r="M101" s="467"/>
      <c r="N101" s="467"/>
    </row>
    <row r="102" spans="1:14" ht="12.75">
      <c r="A102" s="417"/>
      <c r="B102" s="424"/>
      <c r="C102" s="512"/>
      <c r="D102" s="403">
        <v>2013</v>
      </c>
      <c r="E102" s="25">
        <v>3188.5</v>
      </c>
      <c r="F102" s="26">
        <v>3</v>
      </c>
      <c r="G102" s="350">
        <v>4.54</v>
      </c>
      <c r="H102" s="350">
        <v>11495.52</v>
      </c>
      <c r="I102" s="467"/>
      <c r="J102" s="467"/>
      <c r="K102" s="467"/>
      <c r="L102" s="467">
        <v>12.943</v>
      </c>
      <c r="M102" s="467"/>
      <c r="N102" s="467"/>
    </row>
    <row r="103" spans="1:14" ht="12.75">
      <c r="A103" s="417"/>
      <c r="B103" s="424"/>
      <c r="C103" s="512"/>
      <c r="D103" s="403"/>
      <c r="E103" s="25">
        <v>164.82</v>
      </c>
      <c r="F103" s="26">
        <v>4</v>
      </c>
      <c r="G103" s="350"/>
      <c r="H103" s="350"/>
      <c r="I103" s="467"/>
      <c r="J103" s="467"/>
      <c r="K103" s="467"/>
      <c r="L103" s="467"/>
      <c r="M103" s="467"/>
      <c r="N103" s="467"/>
    </row>
    <row r="104" spans="1:14" ht="12.75">
      <c r="A104" s="417"/>
      <c r="B104" s="424"/>
      <c r="C104" s="512"/>
      <c r="D104" s="403"/>
      <c r="E104" s="25">
        <v>3353.32</v>
      </c>
      <c r="F104" s="26">
        <v>5</v>
      </c>
      <c r="G104" s="350"/>
      <c r="H104" s="350"/>
      <c r="I104" s="467"/>
      <c r="J104" s="467"/>
      <c r="K104" s="467"/>
      <c r="L104" s="467"/>
      <c r="M104" s="467"/>
      <c r="N104" s="467"/>
    </row>
    <row r="105" spans="1:14" ht="12.75">
      <c r="A105" s="417"/>
      <c r="B105" s="424"/>
      <c r="C105" s="512"/>
      <c r="D105" s="403">
        <v>2014</v>
      </c>
      <c r="E105" s="25">
        <v>3206.6</v>
      </c>
      <c r="F105" s="26">
        <v>3</v>
      </c>
      <c r="G105" s="350">
        <v>4.63</v>
      </c>
      <c r="H105" s="350">
        <v>13037.91</v>
      </c>
      <c r="I105" s="467"/>
      <c r="J105" s="467"/>
      <c r="K105" s="467"/>
      <c r="L105" s="467">
        <v>13.203</v>
      </c>
      <c r="M105" s="467"/>
      <c r="N105" s="467"/>
    </row>
    <row r="106" spans="1:14" ht="12" customHeight="1">
      <c r="A106" s="417"/>
      <c r="B106" s="424"/>
      <c r="C106" s="512"/>
      <c r="D106" s="403"/>
      <c r="E106" s="25">
        <v>164.82</v>
      </c>
      <c r="F106" s="26">
        <v>4</v>
      </c>
      <c r="G106" s="350"/>
      <c r="H106" s="350"/>
      <c r="I106" s="467"/>
      <c r="J106" s="467"/>
      <c r="K106" s="467"/>
      <c r="L106" s="467"/>
      <c r="M106" s="467"/>
      <c r="N106" s="467"/>
    </row>
    <row r="107" spans="1:14" ht="11.25" customHeight="1">
      <c r="A107" s="417"/>
      <c r="B107" s="424"/>
      <c r="C107" s="512"/>
      <c r="D107" s="403"/>
      <c r="E107" s="25">
        <v>3371.42</v>
      </c>
      <c r="F107" s="26">
        <v>5</v>
      </c>
      <c r="G107" s="350"/>
      <c r="H107" s="350"/>
      <c r="I107" s="467"/>
      <c r="J107" s="467"/>
      <c r="K107" s="467"/>
      <c r="L107" s="467"/>
      <c r="M107" s="467"/>
      <c r="N107" s="467"/>
    </row>
    <row r="108" spans="1:14" ht="12" customHeight="1">
      <c r="A108" s="417"/>
      <c r="B108" s="424"/>
      <c r="C108" s="512"/>
      <c r="D108" s="403">
        <v>2015</v>
      </c>
      <c r="E108" s="25">
        <v>1678.6</v>
      </c>
      <c r="F108" s="26">
        <v>3</v>
      </c>
      <c r="G108" s="350">
        <v>4.8</v>
      </c>
      <c r="H108" s="350">
        <v>13656.04</v>
      </c>
      <c r="I108" s="467"/>
      <c r="J108" s="467"/>
      <c r="K108" s="467"/>
      <c r="L108" s="467">
        <v>13.665</v>
      </c>
      <c r="M108" s="467"/>
      <c r="N108" s="467"/>
    </row>
    <row r="109" spans="1:14" ht="11.25" customHeight="1">
      <c r="A109" s="417"/>
      <c r="B109" s="424"/>
      <c r="C109" s="512"/>
      <c r="D109" s="403"/>
      <c r="E109" s="25">
        <v>164.82</v>
      </c>
      <c r="F109" s="26">
        <v>4</v>
      </c>
      <c r="G109" s="350"/>
      <c r="H109" s="350"/>
      <c r="I109" s="467"/>
      <c r="J109" s="467"/>
      <c r="K109" s="467"/>
      <c r="L109" s="467"/>
      <c r="M109" s="467"/>
      <c r="N109" s="467"/>
    </row>
    <row r="110" spans="1:14" ht="10.5" customHeight="1">
      <c r="A110" s="417"/>
      <c r="B110" s="424"/>
      <c r="C110" s="513"/>
      <c r="D110" s="403"/>
      <c r="E110" s="25">
        <v>1843.42</v>
      </c>
      <c r="F110" s="26">
        <v>5</v>
      </c>
      <c r="G110" s="350"/>
      <c r="H110" s="350"/>
      <c r="I110" s="467"/>
      <c r="J110" s="467"/>
      <c r="K110" s="467"/>
      <c r="L110" s="467"/>
      <c r="M110" s="467"/>
      <c r="N110" s="467"/>
    </row>
    <row r="111" spans="1:14" ht="12.75">
      <c r="A111" s="417">
        <v>8</v>
      </c>
      <c r="B111" s="424" t="s">
        <v>115</v>
      </c>
      <c r="C111" s="422" t="s">
        <v>381</v>
      </c>
      <c r="D111" s="403" t="s">
        <v>450</v>
      </c>
      <c r="E111" s="25">
        <f>SUMIF($F114:$F126,$F111,$E114:$E126)</f>
        <v>12101</v>
      </c>
      <c r="F111" s="26">
        <v>1</v>
      </c>
      <c r="G111" s="350">
        <f>SUM(G114:G126)</f>
        <v>10.04</v>
      </c>
      <c r="H111" s="350">
        <f>SUM(H114:H126)</f>
        <v>44465.63</v>
      </c>
      <c r="I111" s="467"/>
      <c r="J111" s="467"/>
      <c r="K111" s="467"/>
      <c r="L111" s="467">
        <f>SUM(L114:L126)</f>
        <v>28.568</v>
      </c>
      <c r="M111" s="467"/>
      <c r="N111" s="467"/>
    </row>
    <row r="112" spans="1:14" ht="12.75">
      <c r="A112" s="417"/>
      <c r="B112" s="424"/>
      <c r="C112" s="512"/>
      <c r="D112" s="403"/>
      <c r="E112" s="25">
        <f>SUMIF(F114:F126,F112,E114:E126)</f>
        <v>1270</v>
      </c>
      <c r="F112" s="26">
        <v>3</v>
      </c>
      <c r="G112" s="350"/>
      <c r="H112" s="350"/>
      <c r="I112" s="467"/>
      <c r="J112" s="467"/>
      <c r="K112" s="467"/>
      <c r="L112" s="467"/>
      <c r="M112" s="467"/>
      <c r="N112" s="467"/>
    </row>
    <row r="113" spans="1:14" ht="12.75">
      <c r="A113" s="417"/>
      <c r="B113" s="424"/>
      <c r="C113" s="512"/>
      <c r="D113" s="403"/>
      <c r="E113" s="25">
        <f>SUMIF(F114:F126,F113,E114:E126)+E126</f>
        <v>13371</v>
      </c>
      <c r="F113" s="26">
        <v>5</v>
      </c>
      <c r="G113" s="350"/>
      <c r="H113" s="350"/>
      <c r="I113" s="467"/>
      <c r="J113" s="467"/>
      <c r="K113" s="467"/>
      <c r="L113" s="467"/>
      <c r="M113" s="467"/>
      <c r="N113" s="467"/>
    </row>
    <row r="114" spans="1:14" ht="12.75">
      <c r="A114" s="417"/>
      <c r="B114" s="424"/>
      <c r="C114" s="512"/>
      <c r="D114" s="403">
        <v>2011</v>
      </c>
      <c r="E114" s="25">
        <v>3400</v>
      </c>
      <c r="F114" s="26">
        <v>1</v>
      </c>
      <c r="G114" s="350">
        <v>3.21</v>
      </c>
      <c r="H114" s="350">
        <v>10164.52</v>
      </c>
      <c r="I114" s="467"/>
      <c r="J114" s="467"/>
      <c r="K114" s="467"/>
      <c r="L114" s="467">
        <v>9.134</v>
      </c>
      <c r="M114" s="467"/>
      <c r="N114" s="467"/>
    </row>
    <row r="115" spans="1:14" ht="12.75">
      <c r="A115" s="417"/>
      <c r="B115" s="424"/>
      <c r="C115" s="512"/>
      <c r="D115" s="403"/>
      <c r="E115" s="25">
        <v>1015</v>
      </c>
      <c r="F115" s="26">
        <v>3</v>
      </c>
      <c r="G115" s="350"/>
      <c r="H115" s="350"/>
      <c r="I115" s="467"/>
      <c r="J115" s="467"/>
      <c r="K115" s="467"/>
      <c r="L115" s="467"/>
      <c r="M115" s="467"/>
      <c r="N115" s="467"/>
    </row>
    <row r="116" spans="1:14" ht="12.75">
      <c r="A116" s="417"/>
      <c r="B116" s="424"/>
      <c r="C116" s="512"/>
      <c r="D116" s="403"/>
      <c r="E116" s="25">
        <v>4415</v>
      </c>
      <c r="F116" s="26">
        <v>5</v>
      </c>
      <c r="G116" s="350"/>
      <c r="H116" s="350"/>
      <c r="I116" s="467"/>
      <c r="J116" s="467"/>
      <c r="K116" s="467"/>
      <c r="L116" s="467"/>
      <c r="M116" s="467"/>
      <c r="N116" s="467"/>
    </row>
    <row r="117" spans="1:14" ht="12.75">
      <c r="A117" s="417"/>
      <c r="B117" s="424"/>
      <c r="C117" s="512"/>
      <c r="D117" s="403">
        <v>2012</v>
      </c>
      <c r="E117" s="25">
        <v>1665</v>
      </c>
      <c r="F117" s="26">
        <v>1</v>
      </c>
      <c r="G117" s="350">
        <v>1.74</v>
      </c>
      <c r="H117" s="350">
        <v>8138.3</v>
      </c>
      <c r="I117" s="467"/>
      <c r="J117" s="467"/>
      <c r="K117" s="467"/>
      <c r="L117" s="467">
        <v>4.948</v>
      </c>
      <c r="M117" s="467"/>
      <c r="N117" s="467"/>
    </row>
    <row r="118" spans="1:14" ht="12.75">
      <c r="A118" s="417"/>
      <c r="B118" s="424"/>
      <c r="C118" s="512"/>
      <c r="D118" s="403"/>
      <c r="E118" s="25">
        <v>85</v>
      </c>
      <c r="F118" s="26">
        <v>3</v>
      </c>
      <c r="G118" s="350"/>
      <c r="H118" s="350"/>
      <c r="I118" s="467"/>
      <c r="J118" s="467"/>
      <c r="K118" s="467"/>
      <c r="L118" s="467"/>
      <c r="M118" s="467"/>
      <c r="N118" s="467"/>
    </row>
    <row r="119" spans="1:14" ht="12.75">
      <c r="A119" s="417"/>
      <c r="B119" s="424"/>
      <c r="C119" s="512"/>
      <c r="D119" s="403"/>
      <c r="E119" s="25">
        <v>1750</v>
      </c>
      <c r="F119" s="26">
        <v>5</v>
      </c>
      <c r="G119" s="350"/>
      <c r="H119" s="350"/>
      <c r="I119" s="467"/>
      <c r="J119" s="467"/>
      <c r="K119" s="467"/>
      <c r="L119" s="467"/>
      <c r="M119" s="467"/>
      <c r="N119" s="467"/>
    </row>
    <row r="120" spans="1:14" ht="12.75">
      <c r="A120" s="417"/>
      <c r="B120" s="424"/>
      <c r="C120" s="512"/>
      <c r="D120" s="403">
        <v>2013</v>
      </c>
      <c r="E120" s="25">
        <v>2025</v>
      </c>
      <c r="F120" s="26">
        <v>1</v>
      </c>
      <c r="G120" s="350">
        <v>1.71</v>
      </c>
      <c r="H120" s="350">
        <v>8274.49</v>
      </c>
      <c r="I120" s="467"/>
      <c r="J120" s="467"/>
      <c r="K120" s="467"/>
      <c r="L120" s="467">
        <v>4.86</v>
      </c>
      <c r="M120" s="467"/>
      <c r="N120" s="467"/>
    </row>
    <row r="121" spans="1:14" ht="12.75">
      <c r="A121" s="417"/>
      <c r="B121" s="424"/>
      <c r="C121" s="512"/>
      <c r="D121" s="403"/>
      <c r="E121" s="25">
        <v>85</v>
      </c>
      <c r="F121" s="26">
        <v>3</v>
      </c>
      <c r="G121" s="350"/>
      <c r="H121" s="350"/>
      <c r="I121" s="467"/>
      <c r="J121" s="467"/>
      <c r="K121" s="467"/>
      <c r="L121" s="467"/>
      <c r="M121" s="467"/>
      <c r="N121" s="467"/>
    </row>
    <row r="122" spans="1:14" ht="12.75">
      <c r="A122" s="417"/>
      <c r="B122" s="424"/>
      <c r="C122" s="512"/>
      <c r="D122" s="403"/>
      <c r="E122" s="25">
        <v>2110</v>
      </c>
      <c r="F122" s="26">
        <v>5</v>
      </c>
      <c r="G122" s="350"/>
      <c r="H122" s="350"/>
      <c r="I122" s="467"/>
      <c r="J122" s="467"/>
      <c r="K122" s="467"/>
      <c r="L122" s="467"/>
      <c r="M122" s="467"/>
      <c r="N122" s="467"/>
    </row>
    <row r="123" spans="1:14" ht="12.75">
      <c r="A123" s="417"/>
      <c r="B123" s="424"/>
      <c r="C123" s="512"/>
      <c r="D123" s="403">
        <v>2014</v>
      </c>
      <c r="E123" s="25">
        <v>2591</v>
      </c>
      <c r="F123" s="26">
        <v>1</v>
      </c>
      <c r="G123" s="350">
        <v>1.59</v>
      </c>
      <c r="H123" s="350">
        <v>8654.35</v>
      </c>
      <c r="I123" s="467"/>
      <c r="J123" s="467"/>
      <c r="K123" s="467"/>
      <c r="L123" s="467">
        <v>4.538</v>
      </c>
      <c r="M123" s="467"/>
      <c r="N123" s="467"/>
    </row>
    <row r="124" spans="1:14" ht="12.75">
      <c r="A124" s="417"/>
      <c r="B124" s="424"/>
      <c r="C124" s="512"/>
      <c r="D124" s="403"/>
      <c r="E124" s="25">
        <v>85</v>
      </c>
      <c r="F124" s="26">
        <v>3</v>
      </c>
      <c r="G124" s="350"/>
      <c r="H124" s="350"/>
      <c r="I124" s="467"/>
      <c r="J124" s="467"/>
      <c r="K124" s="467"/>
      <c r="L124" s="467"/>
      <c r="M124" s="467"/>
      <c r="N124" s="467"/>
    </row>
    <row r="125" spans="1:14" ht="12.75">
      <c r="A125" s="417"/>
      <c r="B125" s="424"/>
      <c r="C125" s="512"/>
      <c r="D125" s="403"/>
      <c r="E125" s="25">
        <v>2676</v>
      </c>
      <c r="F125" s="26">
        <v>5</v>
      </c>
      <c r="G125" s="350"/>
      <c r="H125" s="350"/>
      <c r="I125" s="467"/>
      <c r="J125" s="467"/>
      <c r="K125" s="467"/>
      <c r="L125" s="467"/>
      <c r="M125" s="467"/>
      <c r="N125" s="467"/>
    </row>
    <row r="126" spans="1:14" ht="12.75">
      <c r="A126" s="417"/>
      <c r="B126" s="424"/>
      <c r="C126" s="513"/>
      <c r="D126" s="24">
        <v>2015</v>
      </c>
      <c r="E126" s="25">
        <v>2420</v>
      </c>
      <c r="F126" s="26">
        <v>1</v>
      </c>
      <c r="G126" s="25">
        <v>1.79</v>
      </c>
      <c r="H126" s="25">
        <v>9233.97</v>
      </c>
      <c r="I126" s="27"/>
      <c r="J126" s="27"/>
      <c r="K126" s="27"/>
      <c r="L126" s="27">
        <v>5.088</v>
      </c>
      <c r="M126" s="27"/>
      <c r="N126" s="27"/>
    </row>
    <row r="127" spans="1:14" ht="12.75">
      <c r="A127" s="411"/>
      <c r="B127" s="452" t="s">
        <v>116</v>
      </c>
      <c r="C127" s="411"/>
      <c r="D127" s="286" t="s">
        <v>450</v>
      </c>
      <c r="E127" s="50">
        <f>E14+E29+E45+E63+E87+E111</f>
        <v>99533</v>
      </c>
      <c r="F127" s="51">
        <v>1</v>
      </c>
      <c r="G127" s="437">
        <f>SUM(G131:G150)</f>
        <v>251.45000000000002</v>
      </c>
      <c r="H127" s="437">
        <f>SUM(H131:H150)</f>
        <v>439706.34</v>
      </c>
      <c r="I127" s="340">
        <f>SUM(I131:I150)</f>
        <v>3.13</v>
      </c>
      <c r="J127" s="340"/>
      <c r="K127" s="340">
        <f>SUM(K131:K150)</f>
        <v>12.295</v>
      </c>
      <c r="L127" s="340">
        <f>SUM(L131:L150)</f>
        <v>661.97</v>
      </c>
      <c r="M127" s="340">
        <f>SUM(M131:M150)</f>
        <v>42.767</v>
      </c>
      <c r="N127" s="340"/>
    </row>
    <row r="128" spans="1:14" ht="12.75">
      <c r="A128" s="412"/>
      <c r="B128" s="453"/>
      <c r="C128" s="412"/>
      <c r="D128" s="286"/>
      <c r="E128" s="50">
        <f>E112+E93+E81+E64+E46+E30+E15+E8</f>
        <v>67528.6</v>
      </c>
      <c r="F128" s="51">
        <v>3</v>
      </c>
      <c r="G128" s="437"/>
      <c r="H128" s="437"/>
      <c r="I128" s="340"/>
      <c r="J128" s="340"/>
      <c r="K128" s="340"/>
      <c r="L128" s="340"/>
      <c r="M128" s="340"/>
      <c r="N128" s="340"/>
    </row>
    <row r="129" spans="1:14" ht="12.75">
      <c r="A129" s="412"/>
      <c r="B129" s="453"/>
      <c r="C129" s="412"/>
      <c r="D129" s="286"/>
      <c r="E129" s="50">
        <v>824.1</v>
      </c>
      <c r="F129" s="51">
        <v>4</v>
      </c>
      <c r="G129" s="437"/>
      <c r="H129" s="437"/>
      <c r="I129" s="340"/>
      <c r="J129" s="340"/>
      <c r="K129" s="340"/>
      <c r="L129" s="340"/>
      <c r="M129" s="340"/>
      <c r="N129" s="340"/>
    </row>
    <row r="130" spans="1:14" ht="12.75">
      <c r="A130" s="412"/>
      <c r="B130" s="453"/>
      <c r="C130" s="412"/>
      <c r="D130" s="286"/>
      <c r="E130" s="50">
        <f>SUM(E127:E129)</f>
        <v>167885.7</v>
      </c>
      <c r="F130" s="51">
        <v>5</v>
      </c>
      <c r="G130" s="437"/>
      <c r="H130" s="437"/>
      <c r="I130" s="340"/>
      <c r="J130" s="340"/>
      <c r="K130" s="340"/>
      <c r="L130" s="340"/>
      <c r="M130" s="340"/>
      <c r="N130" s="340"/>
    </row>
    <row r="131" spans="1:14" ht="12.75">
      <c r="A131" s="412"/>
      <c r="B131" s="453"/>
      <c r="C131" s="412"/>
      <c r="D131" s="511">
        <v>2011</v>
      </c>
      <c r="E131" s="50">
        <f>E17+E32+E48+E66+E88+E114</f>
        <v>17105</v>
      </c>
      <c r="F131" s="51">
        <v>1</v>
      </c>
      <c r="G131" s="507">
        <f>SUMIF($D$9:$D$126,D131,$G$9:$G$126)</f>
        <v>44.580000000000005</v>
      </c>
      <c r="H131" s="437">
        <f>SUMIF($D$9:$D$126,D131,$H$9:$H$126)</f>
        <v>75438.71</v>
      </c>
      <c r="I131" s="340">
        <f>SUMIF($D$9:$D$126,D131,$I$9:$I$126)</f>
        <v>0.6859999999999999</v>
      </c>
      <c r="J131" s="340"/>
      <c r="K131" s="340">
        <f>SUMIF($D$9:$D$126,D131,$K$9:$K$126)</f>
        <v>2.219</v>
      </c>
      <c r="L131" s="340">
        <f>SUMIF($D$9:$D$126,D131,$L$9:$L$126)</f>
        <v>117.115</v>
      </c>
      <c r="M131" s="340">
        <f>SUMIF($D$9:$D$126,D131,$M$9:$M$126)</f>
        <v>7.053000000000001</v>
      </c>
      <c r="N131" s="340"/>
    </row>
    <row r="132" spans="1:14" ht="12.75">
      <c r="A132" s="412"/>
      <c r="B132" s="453"/>
      <c r="C132" s="412"/>
      <c r="D132" s="511"/>
      <c r="E132" s="50">
        <f>E9+E18+E33+E49+E67+E82+E96+E115</f>
        <v>13245.199999999999</v>
      </c>
      <c r="F132" s="51">
        <v>3</v>
      </c>
      <c r="G132" s="507"/>
      <c r="H132" s="437"/>
      <c r="I132" s="340"/>
      <c r="J132" s="340"/>
      <c r="K132" s="340"/>
      <c r="L132" s="340"/>
      <c r="M132" s="340"/>
      <c r="N132" s="340"/>
    </row>
    <row r="133" spans="1:14" ht="12.75">
      <c r="A133" s="412"/>
      <c r="B133" s="453"/>
      <c r="C133" s="412"/>
      <c r="D133" s="511"/>
      <c r="E133" s="50">
        <f>E97</f>
        <v>164.82</v>
      </c>
      <c r="F133" s="51">
        <v>4</v>
      </c>
      <c r="G133" s="507"/>
      <c r="H133" s="437"/>
      <c r="I133" s="340"/>
      <c r="J133" s="340"/>
      <c r="K133" s="340"/>
      <c r="L133" s="340"/>
      <c r="M133" s="340"/>
      <c r="N133" s="340"/>
    </row>
    <row r="134" spans="1:14" ht="12.75">
      <c r="A134" s="412"/>
      <c r="B134" s="453"/>
      <c r="C134" s="412"/>
      <c r="D134" s="511"/>
      <c r="E134" s="50">
        <f>SUM(E131:E133)</f>
        <v>30515.019999999997</v>
      </c>
      <c r="F134" s="51">
        <v>5</v>
      </c>
      <c r="G134" s="507"/>
      <c r="H134" s="437"/>
      <c r="I134" s="340"/>
      <c r="J134" s="340"/>
      <c r="K134" s="340"/>
      <c r="L134" s="340"/>
      <c r="M134" s="340"/>
      <c r="N134" s="340"/>
    </row>
    <row r="135" spans="1:14" ht="12.75">
      <c r="A135" s="412"/>
      <c r="B135" s="453"/>
      <c r="C135" s="412"/>
      <c r="D135" s="286">
        <v>2012</v>
      </c>
      <c r="E135" s="50">
        <v>15770</v>
      </c>
      <c r="F135" s="51">
        <v>1</v>
      </c>
      <c r="G135" s="507">
        <f>SUMIF($D$9:$D$126,D135,$G$9:$G$126)</f>
        <v>46.00000000000001</v>
      </c>
      <c r="H135" s="437">
        <f>SUMIF($D$9:$D$126,D135,$H$9:$H$126)</f>
        <v>80095.03000000001</v>
      </c>
      <c r="I135" s="340">
        <f>SUMIF($D$9:$D$126,D135,$I$9:$I$126)</f>
        <v>0.636</v>
      </c>
      <c r="J135" s="340"/>
      <c r="K135" s="340">
        <f>SUMIF($D$9:$D$126,D135,$K$9:$K$126)</f>
        <v>2.376</v>
      </c>
      <c r="L135" s="340">
        <f>SUMIF($D$9:$D$126,D135,$L$9:$L$126)</f>
        <v>120.41399999999999</v>
      </c>
      <c r="M135" s="340">
        <f>SUMIF($D$9:$D$126,D135,$M$9:$M$126)</f>
        <v>8.372</v>
      </c>
      <c r="N135" s="340"/>
    </row>
    <row r="136" spans="1:14" ht="12.75">
      <c r="A136" s="412"/>
      <c r="B136" s="453"/>
      <c r="C136" s="412"/>
      <c r="D136" s="286"/>
      <c r="E136" s="50">
        <v>13556.1</v>
      </c>
      <c r="F136" s="51">
        <v>3</v>
      </c>
      <c r="G136" s="507"/>
      <c r="H136" s="437"/>
      <c r="I136" s="340"/>
      <c r="J136" s="340"/>
      <c r="K136" s="340"/>
      <c r="L136" s="340"/>
      <c r="M136" s="340"/>
      <c r="N136" s="340"/>
    </row>
    <row r="137" spans="1:14" ht="12.75">
      <c r="A137" s="412"/>
      <c r="B137" s="453"/>
      <c r="C137" s="412"/>
      <c r="D137" s="286"/>
      <c r="E137" s="50">
        <v>164.82</v>
      </c>
      <c r="F137" s="51">
        <v>4</v>
      </c>
      <c r="G137" s="507"/>
      <c r="H137" s="437"/>
      <c r="I137" s="340"/>
      <c r="J137" s="340"/>
      <c r="K137" s="340"/>
      <c r="L137" s="340"/>
      <c r="M137" s="340"/>
      <c r="N137" s="340"/>
    </row>
    <row r="138" spans="1:14" ht="12.75">
      <c r="A138" s="412"/>
      <c r="B138" s="453"/>
      <c r="C138" s="412"/>
      <c r="D138" s="286"/>
      <c r="E138" s="50">
        <f>SUM(E135:E137)</f>
        <v>29490.92</v>
      </c>
      <c r="F138" s="51">
        <v>5</v>
      </c>
      <c r="G138" s="507"/>
      <c r="H138" s="437"/>
      <c r="I138" s="340"/>
      <c r="J138" s="340"/>
      <c r="K138" s="340"/>
      <c r="L138" s="340"/>
      <c r="M138" s="340"/>
      <c r="N138" s="340"/>
    </row>
    <row r="139" spans="1:14" ht="12.75">
      <c r="A139" s="412"/>
      <c r="B139" s="453"/>
      <c r="C139" s="412"/>
      <c r="D139" s="286">
        <v>2013</v>
      </c>
      <c r="E139" s="50">
        <v>21120</v>
      </c>
      <c r="F139" s="51">
        <v>1</v>
      </c>
      <c r="G139" s="507">
        <f>SUMIF($D$9:$D$126,D139,$G$9:$G$126)</f>
        <v>51.17</v>
      </c>
      <c r="H139" s="437">
        <f>SUMIF($D$9:$D$126,D139,$H$9:$H$126)</f>
        <v>87922.03</v>
      </c>
      <c r="I139" s="340">
        <f>SUMIF($D$9:$D$126,D139,$I$9:$I$126)</f>
        <v>0.636</v>
      </c>
      <c r="J139" s="340"/>
      <c r="K139" s="340">
        <f>SUMIF($D$9:$D$126,D139,$K$9:$K$126)</f>
        <v>2.548</v>
      </c>
      <c r="L139" s="340">
        <f>SUMIF($D$9:$D$126,D139,$L$9:$L$126)</f>
        <v>134.497</v>
      </c>
      <c r="M139" s="340">
        <f>SUMIF($D$9:$D$126,D139,$M$9:$M$126)</f>
        <v>9.139000000000001</v>
      </c>
      <c r="N139" s="340"/>
    </row>
    <row r="140" spans="1:14" ht="12.75">
      <c r="A140" s="412"/>
      <c r="B140" s="453"/>
      <c r="C140" s="412"/>
      <c r="D140" s="286"/>
      <c r="E140" s="50">
        <v>12993.7</v>
      </c>
      <c r="F140" s="51">
        <v>3</v>
      </c>
      <c r="G140" s="507"/>
      <c r="H140" s="437"/>
      <c r="I140" s="340"/>
      <c r="J140" s="340"/>
      <c r="K140" s="340"/>
      <c r="L140" s="340"/>
      <c r="M140" s="340"/>
      <c r="N140" s="340"/>
    </row>
    <row r="141" spans="1:14" ht="12.75">
      <c r="A141" s="412"/>
      <c r="B141" s="453"/>
      <c r="C141" s="412"/>
      <c r="D141" s="286"/>
      <c r="E141" s="50">
        <v>164.82</v>
      </c>
      <c r="F141" s="51">
        <v>4</v>
      </c>
      <c r="G141" s="507"/>
      <c r="H141" s="437"/>
      <c r="I141" s="340"/>
      <c r="J141" s="340"/>
      <c r="K141" s="340"/>
      <c r="L141" s="340"/>
      <c r="M141" s="340"/>
      <c r="N141" s="340"/>
    </row>
    <row r="142" spans="1:14" ht="12.75">
      <c r="A142" s="412"/>
      <c r="B142" s="453"/>
      <c r="C142" s="412"/>
      <c r="D142" s="286"/>
      <c r="E142" s="50">
        <v>34278.52</v>
      </c>
      <c r="F142" s="51">
        <v>5</v>
      </c>
      <c r="G142" s="507"/>
      <c r="H142" s="437"/>
      <c r="I142" s="340"/>
      <c r="J142" s="340"/>
      <c r="K142" s="340"/>
      <c r="L142" s="340"/>
      <c r="M142" s="340"/>
      <c r="N142" s="340"/>
    </row>
    <row r="143" spans="1:14" ht="12.75">
      <c r="A143" s="412"/>
      <c r="B143" s="453"/>
      <c r="C143" s="412"/>
      <c r="D143" s="286">
        <v>2014</v>
      </c>
      <c r="E143" s="50">
        <v>26349</v>
      </c>
      <c r="F143" s="51">
        <v>1</v>
      </c>
      <c r="G143" s="507">
        <f>SUMIF($D$9:$D$126,D143,$G$9:$G$126)</f>
        <v>54.52000000000001</v>
      </c>
      <c r="H143" s="437">
        <v>96274.2</v>
      </c>
      <c r="I143" s="340">
        <v>0.586</v>
      </c>
      <c r="J143" s="340"/>
      <c r="K143" s="340">
        <v>2.582</v>
      </c>
      <c r="L143" s="340">
        <v>144.089</v>
      </c>
      <c r="M143" s="340">
        <v>9.374</v>
      </c>
      <c r="N143" s="340"/>
    </row>
    <row r="144" spans="1:14" ht="12.75">
      <c r="A144" s="412"/>
      <c r="B144" s="453"/>
      <c r="C144" s="412"/>
      <c r="D144" s="286"/>
      <c r="E144" s="50">
        <v>14698.8</v>
      </c>
      <c r="F144" s="51">
        <v>3</v>
      </c>
      <c r="G144" s="507"/>
      <c r="H144" s="437"/>
      <c r="I144" s="340"/>
      <c r="J144" s="340"/>
      <c r="K144" s="340"/>
      <c r="L144" s="340"/>
      <c r="M144" s="340"/>
      <c r="N144" s="340"/>
    </row>
    <row r="145" spans="1:14" ht="12.75">
      <c r="A145" s="412"/>
      <c r="B145" s="453"/>
      <c r="C145" s="412"/>
      <c r="D145" s="286"/>
      <c r="E145" s="50">
        <v>164.82</v>
      </c>
      <c r="F145" s="51">
        <v>4</v>
      </c>
      <c r="G145" s="507"/>
      <c r="H145" s="437"/>
      <c r="I145" s="340"/>
      <c r="J145" s="340"/>
      <c r="K145" s="340"/>
      <c r="L145" s="340"/>
      <c r="M145" s="340"/>
      <c r="N145" s="340"/>
    </row>
    <row r="146" spans="1:14" ht="12.75">
      <c r="A146" s="412"/>
      <c r="B146" s="453"/>
      <c r="C146" s="412"/>
      <c r="D146" s="286"/>
      <c r="E146" s="50">
        <v>41212.62</v>
      </c>
      <c r="F146" s="51">
        <v>5</v>
      </c>
      <c r="G146" s="507"/>
      <c r="H146" s="437"/>
      <c r="I146" s="340"/>
      <c r="J146" s="340"/>
      <c r="K146" s="340"/>
      <c r="L146" s="340"/>
      <c r="M146" s="340"/>
      <c r="N146" s="340"/>
    </row>
    <row r="147" spans="1:14" ht="12.75">
      <c r="A147" s="412"/>
      <c r="B147" s="453"/>
      <c r="C147" s="412"/>
      <c r="D147" s="286">
        <v>2015</v>
      </c>
      <c r="E147" s="50">
        <v>19189</v>
      </c>
      <c r="F147" s="51">
        <v>1</v>
      </c>
      <c r="G147" s="507">
        <f>SUMIF($D$9:$D$126,D147,$G$9:$G$126)</f>
        <v>55.18</v>
      </c>
      <c r="H147" s="437">
        <v>99976.37</v>
      </c>
      <c r="I147" s="340">
        <v>0.586</v>
      </c>
      <c r="J147" s="340"/>
      <c r="K147" s="340">
        <v>2.57</v>
      </c>
      <c r="L147" s="340">
        <v>145.855</v>
      </c>
      <c r="M147" s="340">
        <v>8.829</v>
      </c>
      <c r="N147" s="340"/>
    </row>
    <row r="148" spans="1:14" ht="12.75">
      <c r="A148" s="412"/>
      <c r="B148" s="453"/>
      <c r="C148" s="412"/>
      <c r="D148" s="286"/>
      <c r="E148" s="50">
        <v>13034.8</v>
      </c>
      <c r="F148" s="51">
        <v>3</v>
      </c>
      <c r="G148" s="507"/>
      <c r="H148" s="437"/>
      <c r="I148" s="340"/>
      <c r="J148" s="340"/>
      <c r="K148" s="340"/>
      <c r="L148" s="340"/>
      <c r="M148" s="340"/>
      <c r="N148" s="340"/>
    </row>
    <row r="149" spans="1:14" ht="12.75">
      <c r="A149" s="412"/>
      <c r="B149" s="453"/>
      <c r="C149" s="412"/>
      <c r="D149" s="286"/>
      <c r="E149" s="50">
        <v>164.82</v>
      </c>
      <c r="F149" s="51">
        <v>4</v>
      </c>
      <c r="G149" s="507"/>
      <c r="H149" s="437"/>
      <c r="I149" s="340"/>
      <c r="J149" s="340"/>
      <c r="K149" s="340"/>
      <c r="L149" s="340"/>
      <c r="M149" s="340"/>
      <c r="N149" s="340"/>
    </row>
    <row r="150" spans="1:14" ht="12.75">
      <c r="A150" s="419"/>
      <c r="B150" s="454"/>
      <c r="C150" s="419"/>
      <c r="D150" s="286"/>
      <c r="E150" s="50">
        <f>SUM(E147:E149)</f>
        <v>32388.62</v>
      </c>
      <c r="F150" s="51">
        <v>5</v>
      </c>
      <c r="G150" s="507"/>
      <c r="H150" s="437"/>
      <c r="I150" s="340"/>
      <c r="J150" s="340"/>
      <c r="K150" s="340"/>
      <c r="L150" s="340"/>
      <c r="M150" s="340"/>
      <c r="N150" s="340"/>
    </row>
    <row r="151" spans="1:14" ht="12.75">
      <c r="A151" s="302" t="s">
        <v>117</v>
      </c>
      <c r="B151" s="441"/>
      <c r="C151" s="441"/>
      <c r="D151" s="441"/>
      <c r="E151" s="441"/>
      <c r="F151" s="441"/>
      <c r="G151" s="441"/>
      <c r="H151" s="441"/>
      <c r="I151" s="441"/>
      <c r="J151" s="441"/>
      <c r="K151" s="441"/>
      <c r="L151" s="441"/>
      <c r="M151" s="441"/>
      <c r="N151" s="441"/>
    </row>
    <row r="152" spans="1:14" ht="22.5">
      <c r="A152" s="417">
        <v>9</v>
      </c>
      <c r="B152" s="22" t="s">
        <v>118</v>
      </c>
      <c r="C152" s="403" t="s">
        <v>119</v>
      </c>
      <c r="D152" s="24" t="s">
        <v>120</v>
      </c>
      <c r="E152" s="25">
        <f>SUM(E153:E157)</f>
        <v>2956000</v>
      </c>
      <c r="F152" s="26">
        <v>3</v>
      </c>
      <c r="G152" s="25">
        <f>SUM(G153:G157)</f>
        <v>271.608</v>
      </c>
      <c r="H152" s="25">
        <f>SUM(H153:H157)</f>
        <v>130972.7</v>
      </c>
      <c r="I152" s="48"/>
      <c r="J152" s="48"/>
      <c r="K152" s="48">
        <f>SUM(K153:K157)</f>
        <v>362.143</v>
      </c>
      <c r="L152" s="48"/>
      <c r="M152" s="48"/>
      <c r="N152" s="48"/>
    </row>
    <row r="153" spans="1:14" ht="12.75">
      <c r="A153" s="510"/>
      <c r="B153" s="32" t="s">
        <v>121</v>
      </c>
      <c r="C153" s="509"/>
      <c r="D153" s="24">
        <v>2011</v>
      </c>
      <c r="E153" s="25">
        <v>397000</v>
      </c>
      <c r="F153" s="26">
        <v>3</v>
      </c>
      <c r="G153" s="25">
        <v>40.212</v>
      </c>
      <c r="H153" s="25">
        <v>19390.8</v>
      </c>
      <c r="I153" s="48"/>
      <c r="J153" s="48"/>
      <c r="K153" s="48">
        <v>53.616</v>
      </c>
      <c r="L153" s="48"/>
      <c r="M153" s="48"/>
      <c r="N153" s="48"/>
    </row>
    <row r="154" spans="1:14" ht="12" customHeight="1">
      <c r="A154" s="510"/>
      <c r="B154" s="34" t="s">
        <v>122</v>
      </c>
      <c r="C154" s="509"/>
      <c r="D154" s="24">
        <v>2012</v>
      </c>
      <c r="E154" s="25">
        <v>537000</v>
      </c>
      <c r="F154" s="26">
        <v>3</v>
      </c>
      <c r="G154" s="25">
        <v>48.679</v>
      </c>
      <c r="H154" s="25">
        <v>23473.4</v>
      </c>
      <c r="I154" s="48"/>
      <c r="J154" s="48"/>
      <c r="K154" s="48">
        <v>64.905</v>
      </c>
      <c r="L154" s="48"/>
      <c r="M154" s="48"/>
      <c r="N154" s="48"/>
    </row>
    <row r="155" spans="1:14" ht="12" customHeight="1">
      <c r="A155" s="510"/>
      <c r="B155" s="34" t="s">
        <v>123</v>
      </c>
      <c r="C155" s="509"/>
      <c r="D155" s="24">
        <v>2013</v>
      </c>
      <c r="E155" s="25">
        <v>590000</v>
      </c>
      <c r="F155" s="26">
        <v>3</v>
      </c>
      <c r="G155" s="25">
        <v>55.751</v>
      </c>
      <c r="H155" s="25">
        <v>26884</v>
      </c>
      <c r="I155" s="48"/>
      <c r="J155" s="48"/>
      <c r="K155" s="48">
        <v>74.335</v>
      </c>
      <c r="L155" s="48"/>
      <c r="M155" s="48"/>
      <c r="N155" s="48"/>
    </row>
    <row r="156" spans="1:14" ht="12.75">
      <c r="A156" s="510"/>
      <c r="B156" s="34" t="s">
        <v>124</v>
      </c>
      <c r="C156" s="509"/>
      <c r="D156" s="24">
        <v>2014</v>
      </c>
      <c r="E156" s="25">
        <v>649000</v>
      </c>
      <c r="F156" s="26">
        <v>3</v>
      </c>
      <c r="G156" s="25">
        <v>55.899</v>
      </c>
      <c r="H156" s="25">
        <v>26955.3</v>
      </c>
      <c r="I156" s="48"/>
      <c r="J156" s="48"/>
      <c r="K156" s="48">
        <v>74.532</v>
      </c>
      <c r="L156" s="48"/>
      <c r="M156" s="48"/>
      <c r="N156" s="48"/>
    </row>
    <row r="157" spans="1:14" ht="12.75">
      <c r="A157" s="510"/>
      <c r="B157" s="37" t="s">
        <v>125</v>
      </c>
      <c r="C157" s="509"/>
      <c r="D157" s="24">
        <v>2015</v>
      </c>
      <c r="E157" s="25">
        <v>783000</v>
      </c>
      <c r="F157" s="26">
        <v>3</v>
      </c>
      <c r="G157" s="25">
        <v>71.067</v>
      </c>
      <c r="H157" s="25">
        <v>34269.2</v>
      </c>
      <c r="I157" s="48"/>
      <c r="J157" s="48"/>
      <c r="K157" s="48">
        <v>94.755</v>
      </c>
      <c r="L157" s="48"/>
      <c r="M157" s="48"/>
      <c r="N157" s="48"/>
    </row>
    <row r="158" spans="1:14" ht="22.5">
      <c r="A158" s="510"/>
      <c r="B158" s="29"/>
      <c r="C158" s="308" t="s">
        <v>3</v>
      </c>
      <c r="D158" s="24" t="s">
        <v>126</v>
      </c>
      <c r="E158" s="25">
        <f>SUM(E159:E160)</f>
        <v>786488</v>
      </c>
      <c r="F158" s="26">
        <v>3</v>
      </c>
      <c r="G158" s="25">
        <f>SUM(G159:G160)</f>
        <v>34.641999999999996</v>
      </c>
      <c r="H158" s="25">
        <f>SUM(H159:H160)</f>
        <v>23716.1</v>
      </c>
      <c r="I158" s="48"/>
      <c r="J158" s="48"/>
      <c r="K158" s="48">
        <f>SUM(K159:K160)</f>
        <v>52.424</v>
      </c>
      <c r="L158" s="48"/>
      <c r="M158" s="48"/>
      <c r="N158" s="48"/>
    </row>
    <row r="159" spans="1:14" ht="12.75">
      <c r="A159" s="510"/>
      <c r="B159" s="34" t="s">
        <v>125</v>
      </c>
      <c r="C159" s="509"/>
      <c r="D159" s="24">
        <v>2012</v>
      </c>
      <c r="E159" s="25">
        <v>303988</v>
      </c>
      <c r="F159" s="26">
        <v>3</v>
      </c>
      <c r="G159" s="25">
        <v>17.607</v>
      </c>
      <c r="H159" s="25">
        <v>12053.9</v>
      </c>
      <c r="I159" s="48"/>
      <c r="J159" s="48"/>
      <c r="K159" s="48">
        <v>26.645</v>
      </c>
      <c r="L159" s="48"/>
      <c r="M159" s="48"/>
      <c r="N159" s="48"/>
    </row>
    <row r="160" spans="1:14" ht="12.75">
      <c r="A160" s="510"/>
      <c r="B160" s="37" t="s">
        <v>127</v>
      </c>
      <c r="C160" s="509"/>
      <c r="D160" s="24">
        <v>2013</v>
      </c>
      <c r="E160" s="25">
        <v>482500</v>
      </c>
      <c r="F160" s="26">
        <v>3</v>
      </c>
      <c r="G160" s="25">
        <v>17.035</v>
      </c>
      <c r="H160" s="25">
        <v>11662.2</v>
      </c>
      <c r="I160" s="48"/>
      <c r="J160" s="48"/>
      <c r="K160" s="48">
        <v>25.779</v>
      </c>
      <c r="L160" s="48"/>
      <c r="M160" s="48"/>
      <c r="N160" s="48"/>
    </row>
    <row r="161" spans="1:14" ht="23.25" customHeight="1">
      <c r="A161" s="411">
        <v>10</v>
      </c>
      <c r="B161" s="404" t="s">
        <v>128</v>
      </c>
      <c r="C161" s="24" t="s">
        <v>129</v>
      </c>
      <c r="D161" s="24">
        <v>2011</v>
      </c>
      <c r="E161" s="25">
        <v>1000</v>
      </c>
      <c r="F161" s="26">
        <v>3</v>
      </c>
      <c r="G161" s="25">
        <v>1.95</v>
      </c>
      <c r="H161" s="25">
        <v>4399.36</v>
      </c>
      <c r="I161" s="48">
        <v>1.382</v>
      </c>
      <c r="J161" s="48">
        <v>0.29</v>
      </c>
      <c r="K161" s="48"/>
      <c r="L161" s="48"/>
      <c r="M161" s="48"/>
      <c r="N161" s="48"/>
    </row>
    <row r="162" spans="1:14" ht="22.5">
      <c r="A162" s="449"/>
      <c r="B162" s="449"/>
      <c r="C162" s="373" t="s">
        <v>132</v>
      </c>
      <c r="D162" s="24" t="s">
        <v>133</v>
      </c>
      <c r="E162" s="25">
        <f>E163+E164</f>
        <v>3000</v>
      </c>
      <c r="F162" s="26">
        <v>3</v>
      </c>
      <c r="G162" s="25">
        <f>SUM(G163:G164)</f>
        <v>2.2430000000000003</v>
      </c>
      <c r="H162" s="25">
        <f>H163+H164</f>
        <v>1650</v>
      </c>
      <c r="I162" s="48"/>
      <c r="J162" s="48"/>
      <c r="K162" s="48">
        <f>K163+K164</f>
        <v>2.994</v>
      </c>
      <c r="L162" s="48"/>
      <c r="M162" s="48"/>
      <c r="N162" s="48"/>
    </row>
    <row r="163" spans="1:14" ht="12.75">
      <c r="A163" s="449"/>
      <c r="B163" s="449"/>
      <c r="C163" s="449"/>
      <c r="D163" s="24">
        <v>2011</v>
      </c>
      <c r="E163" s="25">
        <v>1500</v>
      </c>
      <c r="F163" s="26">
        <v>3</v>
      </c>
      <c r="G163" s="25">
        <v>1.12</v>
      </c>
      <c r="H163" s="25">
        <v>825</v>
      </c>
      <c r="I163" s="48"/>
      <c r="J163" s="48"/>
      <c r="K163" s="48">
        <v>1.497</v>
      </c>
      <c r="L163" s="48"/>
      <c r="M163" s="48"/>
      <c r="N163" s="48"/>
    </row>
    <row r="164" spans="1:14" ht="12.75">
      <c r="A164" s="450"/>
      <c r="B164" s="450"/>
      <c r="C164" s="450"/>
      <c r="D164" s="24">
        <v>2012</v>
      </c>
      <c r="E164" s="25">
        <v>1500</v>
      </c>
      <c r="F164" s="26">
        <v>3</v>
      </c>
      <c r="G164" s="25">
        <v>1.123</v>
      </c>
      <c r="H164" s="25">
        <v>825</v>
      </c>
      <c r="I164" s="48"/>
      <c r="J164" s="48"/>
      <c r="K164" s="48">
        <v>1.497</v>
      </c>
      <c r="L164" s="48"/>
      <c r="M164" s="48"/>
      <c r="N164" s="48"/>
    </row>
    <row r="165" spans="1:14" ht="21.75" customHeight="1">
      <c r="A165" s="41">
        <v>11</v>
      </c>
      <c r="B165" s="42" t="s">
        <v>357</v>
      </c>
      <c r="C165" s="24" t="s">
        <v>129</v>
      </c>
      <c r="D165" s="56">
        <v>2011</v>
      </c>
      <c r="E165" s="25">
        <v>1500</v>
      </c>
      <c r="F165" s="26">
        <v>3</v>
      </c>
      <c r="G165" s="25">
        <v>3.08</v>
      </c>
      <c r="H165" s="25">
        <v>6948.73</v>
      </c>
      <c r="I165" s="48">
        <v>2.183</v>
      </c>
      <c r="J165" s="48">
        <v>0.459</v>
      </c>
      <c r="K165" s="48"/>
      <c r="L165" s="48"/>
      <c r="M165" s="48"/>
      <c r="N165" s="48"/>
    </row>
    <row r="166" spans="1:14" ht="32.25" customHeight="1">
      <c r="A166" s="21">
        <v>12</v>
      </c>
      <c r="B166" s="22" t="s">
        <v>134</v>
      </c>
      <c r="C166" s="32" t="s">
        <v>129</v>
      </c>
      <c r="D166" s="56">
        <v>2011</v>
      </c>
      <c r="E166" s="25">
        <v>3200</v>
      </c>
      <c r="F166" s="26">
        <v>3</v>
      </c>
      <c r="G166" s="25">
        <v>2.05</v>
      </c>
      <c r="H166" s="25">
        <v>4624.97</v>
      </c>
      <c r="I166" s="48">
        <v>1.453</v>
      </c>
      <c r="J166" s="48">
        <v>0.305</v>
      </c>
      <c r="K166" s="48"/>
      <c r="L166" s="48"/>
      <c r="M166" s="48"/>
      <c r="N166" s="48"/>
    </row>
    <row r="167" spans="1:14" ht="22.5">
      <c r="A167" s="41">
        <v>13</v>
      </c>
      <c r="B167" s="42" t="s">
        <v>135</v>
      </c>
      <c r="C167" s="24" t="s">
        <v>129</v>
      </c>
      <c r="D167" s="55" t="s">
        <v>133</v>
      </c>
      <c r="E167" s="25">
        <f>E168+E169</f>
        <v>5200</v>
      </c>
      <c r="F167" s="26">
        <v>3</v>
      </c>
      <c r="G167" s="25">
        <f>SUM(G168:G169)</f>
        <v>2.7600000000000002</v>
      </c>
      <c r="H167" s="25">
        <f>SUM(H168:H169)</f>
        <v>6604.17</v>
      </c>
      <c r="I167" s="48">
        <f>SUM(I168:I169)</f>
        <v>1.956</v>
      </c>
      <c r="J167" s="48">
        <f>SUM(J168:J169)</f>
        <v>0.41100000000000003</v>
      </c>
      <c r="K167" s="48"/>
      <c r="L167" s="48"/>
      <c r="M167" s="48"/>
      <c r="N167" s="48"/>
    </row>
    <row r="168" spans="1:14" ht="13.5" customHeight="1">
      <c r="A168" s="21"/>
      <c r="B168" s="22"/>
      <c r="C168" s="57"/>
      <c r="D168" s="55">
        <v>2011</v>
      </c>
      <c r="E168" s="25">
        <v>1600</v>
      </c>
      <c r="F168" s="26">
        <v>3</v>
      </c>
      <c r="G168" s="25">
        <v>0.92</v>
      </c>
      <c r="H168" s="25">
        <v>2075.59</v>
      </c>
      <c r="I168" s="48">
        <v>0.652</v>
      </c>
      <c r="J168" s="48">
        <v>0.137</v>
      </c>
      <c r="K168" s="48"/>
      <c r="L168" s="48"/>
      <c r="M168" s="48"/>
      <c r="N168" s="48"/>
    </row>
    <row r="169" spans="1:14" ht="13.5" customHeight="1">
      <c r="A169" s="30"/>
      <c r="B169" s="31"/>
      <c r="C169" s="40"/>
      <c r="D169" s="55">
        <v>2012</v>
      </c>
      <c r="E169" s="25">
        <v>3600</v>
      </c>
      <c r="F169" s="26">
        <v>3</v>
      </c>
      <c r="G169" s="25">
        <v>1.84</v>
      </c>
      <c r="H169" s="25">
        <v>4528.58</v>
      </c>
      <c r="I169" s="48">
        <v>1.304</v>
      </c>
      <c r="J169" s="48">
        <v>0.274</v>
      </c>
      <c r="K169" s="48"/>
      <c r="L169" s="48"/>
      <c r="M169" s="48"/>
      <c r="N169" s="48"/>
    </row>
    <row r="170" spans="1:14" ht="23.25" customHeight="1">
      <c r="A170" s="445" t="s">
        <v>322</v>
      </c>
      <c r="B170" s="405" t="s">
        <v>51</v>
      </c>
      <c r="C170" s="348" t="s">
        <v>129</v>
      </c>
      <c r="D170" s="24" t="s">
        <v>146</v>
      </c>
      <c r="E170" s="25">
        <f>SUM(E171:E173)</f>
        <v>148380</v>
      </c>
      <c r="F170" s="26">
        <v>3</v>
      </c>
      <c r="G170" s="25">
        <f aca="true" t="shared" si="0" ref="G170:G184">K170*0.627+J170*0.145+I170*1.149</f>
        <v>22.080913000000002</v>
      </c>
      <c r="H170" s="25">
        <f>H171+H172+H173</f>
        <v>35304.92</v>
      </c>
      <c r="I170" s="48">
        <f>I171+I172+I173</f>
        <v>1.17</v>
      </c>
      <c r="J170" s="48">
        <f>J171+J172+J173</f>
        <v>0.016</v>
      </c>
      <c r="K170" s="48">
        <f>K171+K172+K173</f>
        <v>33.069</v>
      </c>
      <c r="L170" s="48"/>
      <c r="M170" s="48"/>
      <c r="N170" s="48"/>
    </row>
    <row r="171" spans="1:14" ht="20.25" customHeight="1">
      <c r="A171" s="445"/>
      <c r="B171" s="405"/>
      <c r="C171" s="412"/>
      <c r="D171" s="24">
        <v>2013</v>
      </c>
      <c r="E171" s="25">
        <v>48900</v>
      </c>
      <c r="F171" s="26">
        <v>3</v>
      </c>
      <c r="G171" s="25">
        <f t="shared" si="0"/>
        <v>8.190945</v>
      </c>
      <c r="H171" s="25">
        <v>11633.03</v>
      </c>
      <c r="I171" s="48">
        <v>0.434</v>
      </c>
      <c r="J171" s="48">
        <v>0.006</v>
      </c>
      <c r="K171" s="48">
        <v>12.267</v>
      </c>
      <c r="L171" s="48"/>
      <c r="M171" s="48"/>
      <c r="N171" s="48"/>
    </row>
    <row r="172" spans="1:14" ht="17.25" customHeight="1">
      <c r="A172" s="445"/>
      <c r="B172" s="405"/>
      <c r="C172" s="412"/>
      <c r="D172" s="24">
        <v>2014</v>
      </c>
      <c r="E172" s="25">
        <v>40800</v>
      </c>
      <c r="F172" s="26">
        <v>3</v>
      </c>
      <c r="G172" s="25">
        <f t="shared" si="0"/>
        <v>5.699023</v>
      </c>
      <c r="H172" s="25">
        <v>9712.25</v>
      </c>
      <c r="I172" s="48">
        <v>0.302</v>
      </c>
      <c r="J172" s="48">
        <v>0.004</v>
      </c>
      <c r="K172" s="48">
        <v>8.535</v>
      </c>
      <c r="L172" s="48"/>
      <c r="M172" s="48"/>
      <c r="N172" s="48"/>
    </row>
    <row r="173" spans="1:14" ht="20.25" customHeight="1">
      <c r="A173" s="451"/>
      <c r="B173" s="405"/>
      <c r="C173" s="419"/>
      <c r="D173" s="24">
        <v>2015</v>
      </c>
      <c r="E173" s="25">
        <v>58680</v>
      </c>
      <c r="F173" s="26">
        <v>3</v>
      </c>
      <c r="G173" s="25">
        <f t="shared" si="0"/>
        <v>8.190945</v>
      </c>
      <c r="H173" s="25">
        <v>13959.64</v>
      </c>
      <c r="I173" s="48">
        <v>0.434</v>
      </c>
      <c r="J173" s="48">
        <v>0.006</v>
      </c>
      <c r="K173" s="48">
        <v>12.267</v>
      </c>
      <c r="L173" s="48"/>
      <c r="M173" s="48"/>
      <c r="N173" s="48"/>
    </row>
    <row r="174" spans="1:14" ht="20.25" customHeight="1">
      <c r="A174" s="446" t="s">
        <v>323</v>
      </c>
      <c r="B174" s="22" t="s">
        <v>57</v>
      </c>
      <c r="C174" s="667" t="s">
        <v>129</v>
      </c>
      <c r="D174" s="24" t="s">
        <v>146</v>
      </c>
      <c r="E174" s="25">
        <f>SUM(E175:E177)</f>
        <v>150795.6</v>
      </c>
      <c r="F174" s="26">
        <v>3</v>
      </c>
      <c r="G174" s="25">
        <f t="shared" si="0"/>
        <v>33.96567</v>
      </c>
      <c r="H174" s="25">
        <f>H175+H176+H177</f>
        <v>50638.35</v>
      </c>
      <c r="I174" s="48">
        <f>I175+I176+I177</f>
        <v>1.665</v>
      </c>
      <c r="J174" s="48">
        <f>J175+J176+J177</f>
        <v>0.024</v>
      </c>
      <c r="K174" s="48">
        <f>K175+K176+K177</f>
        <v>51.114999999999995</v>
      </c>
      <c r="L174" s="48"/>
      <c r="M174" s="48"/>
      <c r="N174" s="48"/>
    </row>
    <row r="175" spans="1:14" ht="13.5" customHeight="1">
      <c r="A175" s="447"/>
      <c r="B175" s="34" t="s">
        <v>55</v>
      </c>
      <c r="C175" s="668"/>
      <c r="D175" s="24">
        <v>2013</v>
      </c>
      <c r="E175" s="25">
        <v>45000</v>
      </c>
      <c r="F175" s="26">
        <v>3</v>
      </c>
      <c r="G175" s="25">
        <f t="shared" si="0"/>
        <v>10.485890000000001</v>
      </c>
      <c r="H175" s="25">
        <v>14893.63</v>
      </c>
      <c r="I175" s="48">
        <v>0.555</v>
      </c>
      <c r="J175" s="48">
        <v>0.008</v>
      </c>
      <c r="K175" s="48">
        <v>15.705</v>
      </c>
      <c r="L175" s="48"/>
      <c r="M175" s="48"/>
      <c r="N175" s="48"/>
    </row>
    <row r="176" spans="1:14" ht="13.5" customHeight="1">
      <c r="A176" s="447"/>
      <c r="B176" s="34" t="s">
        <v>54</v>
      </c>
      <c r="C176" s="668"/>
      <c r="D176" s="24">
        <v>2014</v>
      </c>
      <c r="E176" s="25">
        <v>51795.6</v>
      </c>
      <c r="F176" s="26">
        <v>3</v>
      </c>
      <c r="G176" s="25">
        <f t="shared" si="0"/>
        <v>11.73989</v>
      </c>
      <c r="H176" s="25">
        <v>17872.36</v>
      </c>
      <c r="I176" s="48">
        <v>0.555</v>
      </c>
      <c r="J176" s="48">
        <v>0.008</v>
      </c>
      <c r="K176" s="48">
        <v>17.705</v>
      </c>
      <c r="L176" s="48"/>
      <c r="M176" s="48"/>
      <c r="N176" s="48"/>
    </row>
    <row r="177" spans="1:14" ht="13.5" customHeight="1">
      <c r="A177" s="447"/>
      <c r="B177" s="34" t="s">
        <v>56</v>
      </c>
      <c r="C177" s="669"/>
      <c r="D177" s="24">
        <v>2015</v>
      </c>
      <c r="E177" s="25">
        <v>54000</v>
      </c>
      <c r="F177" s="26">
        <v>3</v>
      </c>
      <c r="G177" s="25">
        <f t="shared" si="0"/>
        <v>11.73989</v>
      </c>
      <c r="H177" s="25">
        <v>17872.36</v>
      </c>
      <c r="I177" s="48">
        <v>0.555</v>
      </c>
      <c r="J177" s="48">
        <v>0.008</v>
      </c>
      <c r="K177" s="48">
        <v>17.705</v>
      </c>
      <c r="L177" s="48"/>
      <c r="M177" s="48"/>
      <c r="N177" s="48"/>
    </row>
    <row r="178" spans="1:14" ht="22.5" customHeight="1">
      <c r="A178" s="448"/>
      <c r="B178" s="37" t="s">
        <v>58</v>
      </c>
      <c r="C178" s="60" t="s">
        <v>132</v>
      </c>
      <c r="D178" s="24">
        <v>2013</v>
      </c>
      <c r="E178" s="25">
        <v>40000</v>
      </c>
      <c r="F178" s="26">
        <v>3</v>
      </c>
      <c r="G178" s="25">
        <f t="shared" si="0"/>
        <v>13.188317999999999</v>
      </c>
      <c r="H178" s="25">
        <v>17714</v>
      </c>
      <c r="I178" s="48"/>
      <c r="J178" s="48"/>
      <c r="K178" s="48">
        <v>21.034</v>
      </c>
      <c r="L178" s="48"/>
      <c r="M178" s="48"/>
      <c r="N178" s="48"/>
    </row>
    <row r="179" spans="1:14" ht="21.75" customHeight="1">
      <c r="A179" s="444" t="s">
        <v>324</v>
      </c>
      <c r="B179" s="405" t="s">
        <v>52</v>
      </c>
      <c r="C179" s="373" t="s">
        <v>129</v>
      </c>
      <c r="D179" s="24" t="s">
        <v>146</v>
      </c>
      <c r="E179" s="25">
        <f>SUM(E180:E182)</f>
        <v>5504.4</v>
      </c>
      <c r="F179" s="26">
        <v>3</v>
      </c>
      <c r="G179" s="25">
        <f t="shared" si="0"/>
        <v>1.2408000000000001</v>
      </c>
      <c r="H179" s="25">
        <f>H180+H181+H182</f>
        <v>1939.14</v>
      </c>
      <c r="I179" s="48">
        <f>I180+I181+I182</f>
        <v>0.066</v>
      </c>
      <c r="J179" s="48"/>
      <c r="K179" s="48">
        <f>K180+K181+K182</f>
        <v>1.858</v>
      </c>
      <c r="L179" s="48"/>
      <c r="M179" s="48"/>
      <c r="N179" s="48"/>
    </row>
    <row r="180" spans="1:14" ht="12" customHeight="1">
      <c r="A180" s="445"/>
      <c r="B180" s="405"/>
      <c r="C180" s="412"/>
      <c r="D180" s="24">
        <v>2013</v>
      </c>
      <c r="E180" s="25">
        <v>1134</v>
      </c>
      <c r="F180" s="26">
        <v>3</v>
      </c>
      <c r="G180" s="25">
        <f t="shared" si="0"/>
        <v>0.223833</v>
      </c>
      <c r="H180" s="25">
        <v>317.91</v>
      </c>
      <c r="I180" s="48">
        <v>0.012</v>
      </c>
      <c r="J180" s="48"/>
      <c r="K180" s="48">
        <v>0.335</v>
      </c>
      <c r="L180" s="48"/>
      <c r="M180" s="48"/>
      <c r="N180" s="48"/>
    </row>
    <row r="181" spans="1:14" ht="12.75" customHeight="1">
      <c r="A181" s="445"/>
      <c r="B181" s="405"/>
      <c r="C181" s="412"/>
      <c r="D181" s="24">
        <v>2015</v>
      </c>
      <c r="E181" s="25">
        <v>1360.8</v>
      </c>
      <c r="F181" s="26">
        <v>3</v>
      </c>
      <c r="G181" s="25">
        <f t="shared" si="0"/>
        <v>0.223833</v>
      </c>
      <c r="H181" s="25">
        <v>381.49</v>
      </c>
      <c r="I181" s="48">
        <v>0.012</v>
      </c>
      <c r="J181" s="48"/>
      <c r="K181" s="48">
        <v>0.335</v>
      </c>
      <c r="L181" s="48"/>
      <c r="M181" s="48"/>
      <c r="N181" s="48"/>
    </row>
    <row r="182" spans="1:14" ht="23.25" customHeight="1">
      <c r="A182" s="444" t="s">
        <v>325</v>
      </c>
      <c r="B182" s="404" t="s">
        <v>53</v>
      </c>
      <c r="C182" s="373" t="s">
        <v>129</v>
      </c>
      <c r="D182" s="24" t="s">
        <v>146</v>
      </c>
      <c r="E182" s="25">
        <f>SUM(E183:E184)</f>
        <v>3009.6</v>
      </c>
      <c r="F182" s="26">
        <v>3</v>
      </c>
      <c r="G182" s="25">
        <f t="shared" si="0"/>
        <v>0.793134</v>
      </c>
      <c r="H182" s="25">
        <f>H183+H184</f>
        <v>1239.74</v>
      </c>
      <c r="I182" s="48">
        <f>I183+I184</f>
        <v>0.042</v>
      </c>
      <c r="J182" s="48"/>
      <c r="K182" s="48">
        <f>K183+K184</f>
        <v>1.188</v>
      </c>
      <c r="L182" s="48"/>
      <c r="M182" s="48"/>
      <c r="N182" s="48"/>
    </row>
    <row r="183" spans="1:14" ht="13.5" customHeight="1">
      <c r="A183" s="445"/>
      <c r="B183" s="405"/>
      <c r="C183" s="412"/>
      <c r="D183" s="24">
        <v>2013</v>
      </c>
      <c r="E183" s="25">
        <v>1368</v>
      </c>
      <c r="F183" s="26">
        <v>3</v>
      </c>
      <c r="G183" s="25">
        <f t="shared" si="0"/>
        <v>0.396567</v>
      </c>
      <c r="H183" s="25">
        <v>563.52</v>
      </c>
      <c r="I183" s="48">
        <v>0.021</v>
      </c>
      <c r="J183" s="48"/>
      <c r="K183" s="48">
        <v>0.594</v>
      </c>
      <c r="L183" s="48"/>
      <c r="M183" s="48"/>
      <c r="N183" s="48"/>
    </row>
    <row r="184" spans="1:14" ht="13.5" customHeight="1">
      <c r="A184" s="445"/>
      <c r="B184" s="405"/>
      <c r="C184" s="412"/>
      <c r="D184" s="24">
        <v>2015</v>
      </c>
      <c r="E184" s="25">
        <v>1641.6</v>
      </c>
      <c r="F184" s="26">
        <v>3</v>
      </c>
      <c r="G184" s="25">
        <f t="shared" si="0"/>
        <v>0.396567</v>
      </c>
      <c r="H184" s="25">
        <v>676.22</v>
      </c>
      <c r="I184" s="48">
        <v>0.021</v>
      </c>
      <c r="J184" s="48"/>
      <c r="K184" s="48">
        <v>0.594</v>
      </c>
      <c r="L184" s="48"/>
      <c r="M184" s="48"/>
      <c r="N184" s="48"/>
    </row>
    <row r="185" spans="1:14" ht="21.75" customHeight="1">
      <c r="A185" s="417">
        <v>14</v>
      </c>
      <c r="B185" s="404" t="s">
        <v>136</v>
      </c>
      <c r="C185" s="24" t="s">
        <v>129</v>
      </c>
      <c r="D185" s="24">
        <v>2011</v>
      </c>
      <c r="E185" s="25">
        <v>1500</v>
      </c>
      <c r="F185" s="26">
        <v>3</v>
      </c>
      <c r="G185" s="25">
        <v>0.28</v>
      </c>
      <c r="H185" s="25">
        <v>631.7</v>
      </c>
      <c r="I185" s="48">
        <v>0.196</v>
      </c>
      <c r="J185" s="48">
        <v>0.042</v>
      </c>
      <c r="K185" s="48"/>
      <c r="L185" s="48"/>
      <c r="M185" s="48"/>
      <c r="N185" s="48"/>
    </row>
    <row r="186" spans="1:14" ht="21.75" customHeight="1">
      <c r="A186" s="418"/>
      <c r="B186" s="354"/>
      <c r="C186" s="24" t="s">
        <v>132</v>
      </c>
      <c r="D186" s="56">
        <v>2011</v>
      </c>
      <c r="E186" s="25">
        <v>13000</v>
      </c>
      <c r="F186" s="26">
        <v>3</v>
      </c>
      <c r="G186" s="25">
        <v>8.769</v>
      </c>
      <c r="H186" s="25">
        <v>6950</v>
      </c>
      <c r="I186" s="48">
        <v>0.382</v>
      </c>
      <c r="J186" s="48"/>
      <c r="K186" s="48">
        <v>11.1</v>
      </c>
      <c r="L186" s="48"/>
      <c r="M186" s="48"/>
      <c r="N186" s="48"/>
    </row>
    <row r="187" spans="1:14" ht="23.25" customHeight="1">
      <c r="A187" s="417">
        <v>15</v>
      </c>
      <c r="B187" s="424" t="s">
        <v>407</v>
      </c>
      <c r="C187" s="403" t="s">
        <v>132</v>
      </c>
      <c r="D187" s="24" t="s">
        <v>133</v>
      </c>
      <c r="E187" s="25">
        <f>E188+E189</f>
        <v>699500</v>
      </c>
      <c r="F187" s="26">
        <v>4</v>
      </c>
      <c r="G187" s="25"/>
      <c r="H187" s="25"/>
      <c r="I187" s="48"/>
      <c r="J187" s="48"/>
      <c r="K187" s="48"/>
      <c r="L187" s="48"/>
      <c r="M187" s="48"/>
      <c r="N187" s="48"/>
    </row>
    <row r="188" spans="1:14" ht="16.5" customHeight="1">
      <c r="A188" s="417"/>
      <c r="B188" s="424"/>
      <c r="C188" s="418"/>
      <c r="D188" s="24">
        <v>2011</v>
      </c>
      <c r="E188" s="25">
        <v>350000</v>
      </c>
      <c r="F188" s="26">
        <v>4</v>
      </c>
      <c r="G188" s="25"/>
      <c r="H188" s="25"/>
      <c r="I188" s="48"/>
      <c r="J188" s="48"/>
      <c r="K188" s="48"/>
      <c r="L188" s="48"/>
      <c r="M188" s="48"/>
      <c r="N188" s="48"/>
    </row>
    <row r="189" spans="1:14" ht="16.5" customHeight="1">
      <c r="A189" s="417"/>
      <c r="B189" s="424"/>
      <c r="C189" s="418"/>
      <c r="D189" s="24">
        <v>2012</v>
      </c>
      <c r="E189" s="25">
        <v>349500</v>
      </c>
      <c r="F189" s="26">
        <v>4</v>
      </c>
      <c r="G189" s="25"/>
      <c r="H189" s="25"/>
      <c r="I189" s="48"/>
      <c r="J189" s="48"/>
      <c r="K189" s="48"/>
      <c r="L189" s="48"/>
      <c r="M189" s="48"/>
      <c r="N189" s="48"/>
    </row>
    <row r="190" spans="1:14" ht="22.5">
      <c r="A190" s="417">
        <v>16</v>
      </c>
      <c r="B190" s="22" t="s">
        <v>137</v>
      </c>
      <c r="C190" s="403" t="s">
        <v>132</v>
      </c>
      <c r="D190" s="24" t="s">
        <v>138</v>
      </c>
      <c r="E190" s="25">
        <f>E191+E192+E193</f>
        <v>9000</v>
      </c>
      <c r="F190" s="26">
        <v>3</v>
      </c>
      <c r="G190" s="25">
        <f>G191+G192+G193</f>
        <v>20.16</v>
      </c>
      <c r="H190" s="25">
        <f>H191+H192+H193</f>
        <v>37950</v>
      </c>
      <c r="I190" s="48">
        <f>I191+I192+I193</f>
        <v>17.388</v>
      </c>
      <c r="J190" s="48"/>
      <c r="K190" s="48"/>
      <c r="L190" s="48"/>
      <c r="M190" s="48"/>
      <c r="N190" s="48"/>
    </row>
    <row r="191" spans="1:14" ht="13.5" customHeight="1">
      <c r="A191" s="508"/>
      <c r="B191" s="32" t="s">
        <v>139</v>
      </c>
      <c r="C191" s="321"/>
      <c r="D191" s="24">
        <v>2011</v>
      </c>
      <c r="E191" s="25">
        <v>3000</v>
      </c>
      <c r="F191" s="26">
        <v>3</v>
      </c>
      <c r="G191" s="25">
        <v>6.72</v>
      </c>
      <c r="H191" s="25">
        <v>12650</v>
      </c>
      <c r="I191" s="48">
        <v>5.796</v>
      </c>
      <c r="J191" s="48"/>
      <c r="K191" s="48"/>
      <c r="L191" s="48"/>
      <c r="M191" s="48"/>
      <c r="N191" s="48"/>
    </row>
    <row r="192" spans="1:14" ht="13.5" customHeight="1">
      <c r="A192" s="508"/>
      <c r="B192" s="34" t="s">
        <v>140</v>
      </c>
      <c r="C192" s="321"/>
      <c r="D192" s="24">
        <v>2012</v>
      </c>
      <c r="E192" s="25">
        <v>3000</v>
      </c>
      <c r="F192" s="26">
        <v>3</v>
      </c>
      <c r="G192" s="25">
        <v>6.72</v>
      </c>
      <c r="H192" s="25">
        <v>12650</v>
      </c>
      <c r="I192" s="48">
        <v>5.796</v>
      </c>
      <c r="J192" s="48"/>
      <c r="K192" s="48"/>
      <c r="L192" s="48"/>
      <c r="M192" s="48"/>
      <c r="N192" s="48"/>
    </row>
    <row r="193" spans="1:14" ht="13.5" customHeight="1">
      <c r="A193" s="508"/>
      <c r="B193" s="37" t="s">
        <v>141</v>
      </c>
      <c r="C193" s="321"/>
      <c r="D193" s="24">
        <v>2013</v>
      </c>
      <c r="E193" s="25">
        <v>3000</v>
      </c>
      <c r="F193" s="26">
        <v>3</v>
      </c>
      <c r="G193" s="25">
        <v>6.72</v>
      </c>
      <c r="H193" s="25">
        <v>12650</v>
      </c>
      <c r="I193" s="48">
        <v>5.796</v>
      </c>
      <c r="J193" s="48"/>
      <c r="K193" s="48"/>
      <c r="L193" s="48"/>
      <c r="M193" s="48"/>
      <c r="N193" s="48"/>
    </row>
    <row r="194" spans="1:14" ht="22.5">
      <c r="A194" s="417">
        <v>17</v>
      </c>
      <c r="B194" s="406" t="s">
        <v>142</v>
      </c>
      <c r="C194" s="403" t="s">
        <v>132</v>
      </c>
      <c r="D194" s="24" t="s">
        <v>143</v>
      </c>
      <c r="E194" s="25">
        <f>SUM(E195:E197)</f>
        <v>32400</v>
      </c>
      <c r="F194" s="26">
        <v>3</v>
      </c>
      <c r="G194" s="25">
        <f>SUM(G195:G197)</f>
        <v>20.986</v>
      </c>
      <c r="H194" s="25">
        <f>SUM(H195:H197)</f>
        <v>16360</v>
      </c>
      <c r="I194" s="48">
        <f>SUM(I195:I197)</f>
        <v>0.7090000000000001</v>
      </c>
      <c r="J194" s="48"/>
      <c r="K194" s="48">
        <f>SUM(K195:K197)</f>
        <v>26.883999999999997</v>
      </c>
      <c r="L194" s="48"/>
      <c r="M194" s="48"/>
      <c r="N194" s="48"/>
    </row>
    <row r="195" spans="1:14" ht="12.75">
      <c r="A195" s="417"/>
      <c r="B195" s="380"/>
      <c r="C195" s="418"/>
      <c r="D195" s="24">
        <v>2012</v>
      </c>
      <c r="E195" s="25">
        <v>13400</v>
      </c>
      <c r="F195" s="26">
        <v>3</v>
      </c>
      <c r="G195" s="25">
        <v>7.609</v>
      </c>
      <c r="H195" s="25">
        <v>6010</v>
      </c>
      <c r="I195" s="48">
        <v>0.316</v>
      </c>
      <c r="J195" s="48"/>
      <c r="K195" s="48">
        <v>9.656</v>
      </c>
      <c r="L195" s="48"/>
      <c r="M195" s="48"/>
      <c r="N195" s="48"/>
    </row>
    <row r="196" spans="1:14" ht="13.5" customHeight="1">
      <c r="A196" s="417"/>
      <c r="B196" s="380"/>
      <c r="C196" s="418"/>
      <c r="D196" s="24">
        <v>2013</v>
      </c>
      <c r="E196" s="25">
        <v>13000</v>
      </c>
      <c r="F196" s="26">
        <v>3</v>
      </c>
      <c r="G196" s="25">
        <v>11.439</v>
      </c>
      <c r="H196" s="25">
        <v>8850</v>
      </c>
      <c r="I196" s="48">
        <v>0.336</v>
      </c>
      <c r="J196" s="48"/>
      <c r="K196" s="48">
        <v>14.732</v>
      </c>
      <c r="L196" s="48"/>
      <c r="M196" s="48"/>
      <c r="N196" s="48"/>
    </row>
    <row r="197" spans="1:14" ht="12.75" customHeight="1">
      <c r="A197" s="417"/>
      <c r="B197" s="380"/>
      <c r="C197" s="418"/>
      <c r="D197" s="24">
        <v>2014</v>
      </c>
      <c r="E197" s="25">
        <v>6000</v>
      </c>
      <c r="F197" s="26">
        <v>3</v>
      </c>
      <c r="G197" s="25">
        <v>1.938</v>
      </c>
      <c r="H197" s="25">
        <v>1500</v>
      </c>
      <c r="I197" s="48">
        <v>0.057</v>
      </c>
      <c r="J197" s="48"/>
      <c r="K197" s="48">
        <v>2.496</v>
      </c>
      <c r="L197" s="48"/>
      <c r="M197" s="48"/>
      <c r="N197" s="48"/>
    </row>
    <row r="198" spans="1:14" ht="57" customHeight="1">
      <c r="A198" s="41">
        <v>18</v>
      </c>
      <c r="B198" s="42" t="s">
        <v>144</v>
      </c>
      <c r="C198" s="24" t="s">
        <v>132</v>
      </c>
      <c r="D198" s="56">
        <v>2015</v>
      </c>
      <c r="E198" s="25">
        <v>15000</v>
      </c>
      <c r="F198" s="26">
        <v>3</v>
      </c>
      <c r="G198" s="25">
        <v>5.623</v>
      </c>
      <c r="H198" s="25">
        <v>4450</v>
      </c>
      <c r="I198" s="48">
        <v>0.24</v>
      </c>
      <c r="J198" s="48"/>
      <c r="K198" s="48">
        <v>7.126</v>
      </c>
      <c r="L198" s="48"/>
      <c r="M198" s="48"/>
      <c r="N198" s="48"/>
    </row>
    <row r="199" spans="1:14" ht="45">
      <c r="A199" s="41">
        <v>19</v>
      </c>
      <c r="B199" s="42" t="s">
        <v>288</v>
      </c>
      <c r="C199" s="24" t="s">
        <v>132</v>
      </c>
      <c r="D199" s="56">
        <v>2014</v>
      </c>
      <c r="E199" s="25">
        <v>8000</v>
      </c>
      <c r="F199" s="26">
        <v>3</v>
      </c>
      <c r="G199" s="25">
        <v>6.553</v>
      </c>
      <c r="H199" s="25">
        <v>5200</v>
      </c>
      <c r="I199" s="48">
        <v>0.29</v>
      </c>
      <c r="J199" s="48"/>
      <c r="K199" s="48">
        <v>8.289</v>
      </c>
      <c r="L199" s="48"/>
      <c r="M199" s="48"/>
      <c r="N199" s="48"/>
    </row>
    <row r="200" spans="1:14" ht="22.5">
      <c r="A200" s="417">
        <v>20</v>
      </c>
      <c r="B200" s="404" t="s">
        <v>145</v>
      </c>
      <c r="C200" s="403" t="s">
        <v>132</v>
      </c>
      <c r="D200" s="24" t="s">
        <v>146</v>
      </c>
      <c r="E200" s="25">
        <f>E201+E202</f>
        <v>9000</v>
      </c>
      <c r="F200" s="26">
        <v>3</v>
      </c>
      <c r="G200" s="25">
        <f>SUM(G201:G202)</f>
        <v>11.52</v>
      </c>
      <c r="H200" s="25">
        <f>H201+H202</f>
        <v>9110</v>
      </c>
      <c r="I200" s="48">
        <f>I201+I202</f>
        <v>0.491</v>
      </c>
      <c r="J200" s="48"/>
      <c r="K200" s="48">
        <f>K201+K202</f>
        <v>14.591000000000001</v>
      </c>
      <c r="L200" s="48"/>
      <c r="M200" s="48"/>
      <c r="N200" s="48"/>
    </row>
    <row r="201" spans="1:14" ht="15" customHeight="1">
      <c r="A201" s="417"/>
      <c r="B201" s="405"/>
      <c r="C201" s="418"/>
      <c r="D201" s="24">
        <v>2013</v>
      </c>
      <c r="E201" s="25">
        <v>5000</v>
      </c>
      <c r="F201" s="26">
        <v>3</v>
      </c>
      <c r="G201" s="25">
        <v>9.49</v>
      </c>
      <c r="H201" s="25">
        <v>7510</v>
      </c>
      <c r="I201" s="48">
        <v>0.408</v>
      </c>
      <c r="J201" s="48"/>
      <c r="K201" s="48">
        <v>12.015</v>
      </c>
      <c r="L201" s="48"/>
      <c r="M201" s="48"/>
      <c r="N201" s="48"/>
    </row>
    <row r="202" spans="1:14" ht="17.25" customHeight="1">
      <c r="A202" s="417"/>
      <c r="B202" s="406"/>
      <c r="C202" s="418"/>
      <c r="D202" s="24">
        <v>2015</v>
      </c>
      <c r="E202" s="25">
        <v>4000</v>
      </c>
      <c r="F202" s="26">
        <v>3</v>
      </c>
      <c r="G202" s="25">
        <v>2.03</v>
      </c>
      <c r="H202" s="25">
        <v>1600</v>
      </c>
      <c r="I202" s="48">
        <v>0.083</v>
      </c>
      <c r="J202" s="48"/>
      <c r="K202" s="48">
        <v>2.576</v>
      </c>
      <c r="L202" s="48"/>
      <c r="M202" s="48"/>
      <c r="N202" s="48"/>
    </row>
    <row r="203" spans="1:14" ht="12.75" customHeight="1">
      <c r="A203" s="411">
        <v>21</v>
      </c>
      <c r="B203" s="404" t="s">
        <v>148</v>
      </c>
      <c r="C203" s="41" t="s">
        <v>147</v>
      </c>
      <c r="D203" s="24">
        <v>2011</v>
      </c>
      <c r="E203" s="25">
        <v>1842</v>
      </c>
      <c r="F203" s="26">
        <v>3</v>
      </c>
      <c r="G203" s="25">
        <v>0.15</v>
      </c>
      <c r="H203" s="25">
        <v>272.39</v>
      </c>
      <c r="I203" s="48"/>
      <c r="J203" s="48"/>
      <c r="K203" s="48"/>
      <c r="L203" s="48">
        <v>0.43758</v>
      </c>
      <c r="M203" s="48"/>
      <c r="N203" s="48"/>
    </row>
    <row r="204" spans="1:14" ht="22.5">
      <c r="A204" s="412"/>
      <c r="B204" s="405"/>
      <c r="C204" s="373" t="s">
        <v>149</v>
      </c>
      <c r="D204" s="24" t="s">
        <v>120</v>
      </c>
      <c r="E204" s="25">
        <f>SUM(E205:E209)</f>
        <v>4966.5</v>
      </c>
      <c r="F204" s="26">
        <v>3</v>
      </c>
      <c r="G204" s="25">
        <f>SUM(G205:G209)</f>
        <v>9.07</v>
      </c>
      <c r="H204" s="25">
        <f>SUM(H205:H209)</f>
        <v>6291.16</v>
      </c>
      <c r="I204" s="48"/>
      <c r="J204" s="48"/>
      <c r="K204" s="48"/>
      <c r="L204" s="48">
        <f>SUM(L205:L209)</f>
        <v>25.826</v>
      </c>
      <c r="M204" s="48"/>
      <c r="N204" s="48"/>
    </row>
    <row r="205" spans="1:14" ht="12.75">
      <c r="A205" s="412"/>
      <c r="B205" s="405"/>
      <c r="C205" s="348"/>
      <c r="D205" s="24">
        <v>2011</v>
      </c>
      <c r="E205" s="25">
        <v>936</v>
      </c>
      <c r="F205" s="26">
        <v>3</v>
      </c>
      <c r="G205" s="25">
        <v>1.71</v>
      </c>
      <c r="H205" s="25">
        <v>1185.65</v>
      </c>
      <c r="I205" s="48"/>
      <c r="J205" s="48"/>
      <c r="K205" s="48"/>
      <c r="L205" s="48">
        <v>4.867</v>
      </c>
      <c r="M205" s="48"/>
      <c r="N205" s="48"/>
    </row>
    <row r="206" spans="1:14" ht="12.75">
      <c r="A206" s="412"/>
      <c r="B206" s="405"/>
      <c r="C206" s="348"/>
      <c r="D206" s="24">
        <v>2012</v>
      </c>
      <c r="E206" s="25">
        <v>963.75</v>
      </c>
      <c r="F206" s="26">
        <v>3</v>
      </c>
      <c r="G206" s="25">
        <v>1.76</v>
      </c>
      <c r="H206" s="25">
        <v>1220.8</v>
      </c>
      <c r="I206" s="48"/>
      <c r="J206" s="48"/>
      <c r="K206" s="48"/>
      <c r="L206" s="48">
        <v>5.012</v>
      </c>
      <c r="M206" s="48"/>
      <c r="N206" s="48"/>
    </row>
    <row r="207" spans="1:14" ht="13.5" customHeight="1">
      <c r="A207" s="412"/>
      <c r="B207" s="398"/>
      <c r="C207" s="394"/>
      <c r="D207" s="24">
        <v>2013</v>
      </c>
      <c r="E207" s="25">
        <v>990.75</v>
      </c>
      <c r="F207" s="26">
        <v>3</v>
      </c>
      <c r="G207" s="25">
        <v>1.81</v>
      </c>
      <c r="H207" s="25">
        <v>1255</v>
      </c>
      <c r="I207" s="48"/>
      <c r="J207" s="48"/>
      <c r="K207" s="48"/>
      <c r="L207" s="48">
        <v>5.152</v>
      </c>
      <c r="M207" s="48"/>
      <c r="N207" s="48"/>
    </row>
    <row r="208" spans="1:14" ht="13.5" customHeight="1">
      <c r="A208" s="412"/>
      <c r="B208" s="398"/>
      <c r="C208" s="394"/>
      <c r="D208" s="24">
        <v>2014</v>
      </c>
      <c r="E208" s="25">
        <v>1017.75</v>
      </c>
      <c r="F208" s="26">
        <v>3</v>
      </c>
      <c r="G208" s="25">
        <v>1.86</v>
      </c>
      <c r="H208" s="25">
        <v>1289.2</v>
      </c>
      <c r="I208" s="48"/>
      <c r="J208" s="48"/>
      <c r="K208" s="48"/>
      <c r="L208" s="48">
        <v>5.292</v>
      </c>
      <c r="M208" s="48"/>
      <c r="N208" s="48"/>
    </row>
    <row r="209" spans="1:14" ht="12.75">
      <c r="A209" s="419"/>
      <c r="B209" s="399"/>
      <c r="C209" s="413"/>
      <c r="D209" s="24">
        <v>2015</v>
      </c>
      <c r="E209" s="25">
        <v>1058.25</v>
      </c>
      <c r="F209" s="26">
        <v>3</v>
      </c>
      <c r="G209" s="25">
        <v>1.93</v>
      </c>
      <c r="H209" s="25">
        <v>1340.51</v>
      </c>
      <c r="I209" s="48"/>
      <c r="J209" s="48"/>
      <c r="K209" s="48"/>
      <c r="L209" s="48">
        <v>5.503</v>
      </c>
      <c r="M209" s="48"/>
      <c r="N209" s="48"/>
    </row>
    <row r="210" spans="1:14" ht="22.5">
      <c r="A210" s="417">
        <v>22</v>
      </c>
      <c r="B210" s="424" t="s">
        <v>150</v>
      </c>
      <c r="C210" s="417" t="s">
        <v>151</v>
      </c>
      <c r="D210" s="24" t="s">
        <v>120</v>
      </c>
      <c r="E210" s="25">
        <f>E211+E212+E213+E214+E215</f>
        <v>68746.5</v>
      </c>
      <c r="F210" s="26">
        <v>3</v>
      </c>
      <c r="G210" s="25">
        <f>SUM(G211:G215)</f>
        <v>1.04</v>
      </c>
      <c r="H210" s="25">
        <f>SUM(H211:H215)</f>
        <v>730.802</v>
      </c>
      <c r="I210" s="48"/>
      <c r="J210" s="48"/>
      <c r="K210" s="48"/>
      <c r="L210" s="48">
        <f>SUM(L211:L215)</f>
        <v>3.0000000000000004</v>
      </c>
      <c r="M210" s="48"/>
      <c r="N210" s="48"/>
    </row>
    <row r="211" spans="1:14" ht="12.75">
      <c r="A211" s="417"/>
      <c r="B211" s="424"/>
      <c r="C211" s="417"/>
      <c r="D211" s="24">
        <v>2011</v>
      </c>
      <c r="E211" s="25">
        <v>20035</v>
      </c>
      <c r="F211" s="26">
        <v>3</v>
      </c>
      <c r="G211" s="25">
        <v>0.39</v>
      </c>
      <c r="H211" s="25">
        <v>267.96</v>
      </c>
      <c r="I211" s="48"/>
      <c r="J211" s="48"/>
      <c r="K211" s="48"/>
      <c r="L211" s="48">
        <v>1.1</v>
      </c>
      <c r="M211" s="48"/>
      <c r="N211" s="48"/>
    </row>
    <row r="212" spans="1:14" ht="12.75">
      <c r="A212" s="417"/>
      <c r="B212" s="424"/>
      <c r="C212" s="417"/>
      <c r="D212" s="24">
        <v>2012</v>
      </c>
      <c r="E212" s="25">
        <v>5465</v>
      </c>
      <c r="F212" s="26">
        <v>3</v>
      </c>
      <c r="G212" s="25">
        <v>0.04</v>
      </c>
      <c r="H212" s="25">
        <v>29.232</v>
      </c>
      <c r="I212" s="48"/>
      <c r="J212" s="48"/>
      <c r="K212" s="48"/>
      <c r="L212" s="48">
        <v>0.12</v>
      </c>
      <c r="M212" s="48"/>
      <c r="N212" s="48"/>
    </row>
    <row r="213" spans="1:14" ht="12.75">
      <c r="A213" s="417"/>
      <c r="B213" s="424"/>
      <c r="C213" s="417"/>
      <c r="D213" s="24">
        <v>2013</v>
      </c>
      <c r="E213" s="25">
        <v>15358</v>
      </c>
      <c r="F213" s="26">
        <v>3</v>
      </c>
      <c r="G213" s="25">
        <v>0.35</v>
      </c>
      <c r="H213" s="25">
        <v>248.47</v>
      </c>
      <c r="I213" s="48"/>
      <c r="J213" s="48"/>
      <c r="K213" s="48"/>
      <c r="L213" s="48">
        <v>1.02</v>
      </c>
      <c r="M213" s="48"/>
      <c r="N213" s="48"/>
    </row>
    <row r="214" spans="1:14" ht="12.75">
      <c r="A214" s="417"/>
      <c r="B214" s="424"/>
      <c r="C214" s="417"/>
      <c r="D214" s="24">
        <v>2014</v>
      </c>
      <c r="E214" s="25">
        <v>13388.5</v>
      </c>
      <c r="F214" s="26">
        <v>3</v>
      </c>
      <c r="G214" s="25">
        <v>0.07</v>
      </c>
      <c r="H214" s="25">
        <v>48.72</v>
      </c>
      <c r="I214" s="48"/>
      <c r="J214" s="48"/>
      <c r="K214" s="48"/>
      <c r="L214" s="48">
        <v>0.2</v>
      </c>
      <c r="M214" s="48"/>
      <c r="N214" s="48"/>
    </row>
    <row r="215" spans="1:14" ht="12.75">
      <c r="A215" s="417"/>
      <c r="B215" s="424"/>
      <c r="C215" s="417"/>
      <c r="D215" s="24">
        <v>2015</v>
      </c>
      <c r="E215" s="25">
        <v>14500</v>
      </c>
      <c r="F215" s="26">
        <v>3</v>
      </c>
      <c r="G215" s="25">
        <v>0.19</v>
      </c>
      <c r="H215" s="25">
        <v>136.42</v>
      </c>
      <c r="I215" s="48"/>
      <c r="J215" s="48"/>
      <c r="K215" s="48"/>
      <c r="L215" s="48">
        <v>0.56</v>
      </c>
      <c r="M215" s="48"/>
      <c r="N215" s="48"/>
    </row>
    <row r="216" spans="1:14" ht="22.5">
      <c r="A216" s="417">
        <v>23</v>
      </c>
      <c r="B216" s="424" t="s">
        <v>382</v>
      </c>
      <c r="C216" s="417" t="s">
        <v>151</v>
      </c>
      <c r="D216" s="24" t="s">
        <v>126</v>
      </c>
      <c r="E216" s="25">
        <f>E217+E218</f>
        <v>6803.17</v>
      </c>
      <c r="F216" s="26">
        <v>3</v>
      </c>
      <c r="G216" s="25">
        <f>G217+G218</f>
        <v>0.026000000000000002</v>
      </c>
      <c r="H216" s="25">
        <f>H217+H218</f>
        <v>16.56</v>
      </c>
      <c r="I216" s="48"/>
      <c r="J216" s="48"/>
      <c r="K216" s="48"/>
      <c r="L216" s="48">
        <f>L217+L218</f>
        <v>0.068</v>
      </c>
      <c r="M216" s="48"/>
      <c r="N216" s="48"/>
    </row>
    <row r="217" spans="1:14" ht="12.75">
      <c r="A217" s="417"/>
      <c r="B217" s="424"/>
      <c r="C217" s="417"/>
      <c r="D217" s="24">
        <v>2012</v>
      </c>
      <c r="E217" s="25">
        <v>3500</v>
      </c>
      <c r="F217" s="26">
        <v>3</v>
      </c>
      <c r="G217" s="25">
        <v>0.006</v>
      </c>
      <c r="H217" s="25">
        <v>4.14</v>
      </c>
      <c r="I217" s="48"/>
      <c r="J217" s="48"/>
      <c r="K217" s="48"/>
      <c r="L217" s="48">
        <v>0.017</v>
      </c>
      <c r="M217" s="48"/>
      <c r="N217" s="48"/>
    </row>
    <row r="218" spans="1:14" ht="12.75">
      <c r="A218" s="417"/>
      <c r="B218" s="424"/>
      <c r="C218" s="417"/>
      <c r="D218" s="24">
        <v>2013</v>
      </c>
      <c r="E218" s="25">
        <v>3303.17</v>
      </c>
      <c r="F218" s="26">
        <v>3</v>
      </c>
      <c r="G218" s="25">
        <v>0.02</v>
      </c>
      <c r="H218" s="25">
        <v>12.42</v>
      </c>
      <c r="I218" s="48"/>
      <c r="J218" s="48"/>
      <c r="K218" s="48"/>
      <c r="L218" s="48">
        <v>0.051</v>
      </c>
      <c r="M218" s="48"/>
      <c r="N218" s="48"/>
    </row>
    <row r="219" spans="1:14" ht="22.5" customHeight="1">
      <c r="A219" s="411">
        <v>24</v>
      </c>
      <c r="B219" s="404" t="s">
        <v>152</v>
      </c>
      <c r="C219" s="417" t="s">
        <v>153</v>
      </c>
      <c r="D219" s="24" t="s">
        <v>120</v>
      </c>
      <c r="E219" s="25">
        <f>SUM(E220:E224)</f>
        <v>290170</v>
      </c>
      <c r="F219" s="26">
        <v>3</v>
      </c>
      <c r="G219" s="25">
        <f>SUM(G220:G224)</f>
        <v>108.38999999999999</v>
      </c>
      <c r="H219" s="25">
        <f>SUM(H220:H224)</f>
        <v>69515.98000000001</v>
      </c>
      <c r="I219" s="48"/>
      <c r="J219" s="48"/>
      <c r="K219" s="48"/>
      <c r="L219" s="48">
        <f>SUM(L220:L224)</f>
        <v>304.22400000000005</v>
      </c>
      <c r="M219" s="48"/>
      <c r="N219" s="48"/>
    </row>
    <row r="220" spans="1:14" ht="12.75">
      <c r="A220" s="412"/>
      <c r="B220" s="405"/>
      <c r="C220" s="417"/>
      <c r="D220" s="24">
        <v>2011</v>
      </c>
      <c r="E220" s="25">
        <v>69800</v>
      </c>
      <c r="F220" s="26">
        <v>3</v>
      </c>
      <c r="G220" s="25">
        <v>30.74</v>
      </c>
      <c r="H220" s="25">
        <v>19714.21</v>
      </c>
      <c r="I220" s="48"/>
      <c r="J220" s="48"/>
      <c r="K220" s="48"/>
      <c r="L220" s="48">
        <v>87.585</v>
      </c>
      <c r="M220" s="48"/>
      <c r="N220" s="48"/>
    </row>
    <row r="221" spans="1:14" ht="12.75">
      <c r="A221" s="412"/>
      <c r="B221" s="405"/>
      <c r="C221" s="417"/>
      <c r="D221" s="24">
        <v>2012</v>
      </c>
      <c r="E221" s="25">
        <v>68300</v>
      </c>
      <c r="F221" s="26">
        <v>3</v>
      </c>
      <c r="G221" s="25">
        <v>26.51</v>
      </c>
      <c r="H221" s="25">
        <v>17000.34</v>
      </c>
      <c r="I221" s="48"/>
      <c r="J221" s="48"/>
      <c r="K221" s="48"/>
      <c r="L221" s="48">
        <v>75.528</v>
      </c>
      <c r="M221" s="48"/>
      <c r="N221" s="48"/>
    </row>
    <row r="222" spans="1:14" ht="12.75">
      <c r="A222" s="412"/>
      <c r="B222" s="405"/>
      <c r="C222" s="417"/>
      <c r="D222" s="24">
        <v>2013</v>
      </c>
      <c r="E222" s="25">
        <v>68070</v>
      </c>
      <c r="F222" s="26">
        <v>3</v>
      </c>
      <c r="G222" s="25">
        <v>23.13</v>
      </c>
      <c r="H222" s="25">
        <v>14831.19</v>
      </c>
      <c r="I222" s="48"/>
      <c r="J222" s="48"/>
      <c r="K222" s="48"/>
      <c r="L222" s="48">
        <v>65.891</v>
      </c>
      <c r="M222" s="48"/>
      <c r="N222" s="48"/>
    </row>
    <row r="223" spans="1:14" ht="12.75">
      <c r="A223" s="412"/>
      <c r="B223" s="405"/>
      <c r="C223" s="417"/>
      <c r="D223" s="24">
        <v>2014</v>
      </c>
      <c r="E223" s="25">
        <v>42000</v>
      </c>
      <c r="F223" s="26">
        <v>3</v>
      </c>
      <c r="G223" s="25">
        <v>14.85</v>
      </c>
      <c r="H223" s="25">
        <v>9528.37</v>
      </c>
      <c r="I223" s="48"/>
      <c r="J223" s="48"/>
      <c r="K223" s="48"/>
      <c r="L223" s="48">
        <v>37.715</v>
      </c>
      <c r="M223" s="48"/>
      <c r="N223" s="48"/>
    </row>
    <row r="224" spans="1:14" ht="12.75">
      <c r="A224" s="412"/>
      <c r="B224" s="405"/>
      <c r="C224" s="417"/>
      <c r="D224" s="24">
        <v>2015</v>
      </c>
      <c r="E224" s="25">
        <v>42000</v>
      </c>
      <c r="F224" s="26">
        <v>3</v>
      </c>
      <c r="G224" s="25">
        <v>13.16</v>
      </c>
      <c r="H224" s="25">
        <v>8441.87</v>
      </c>
      <c r="I224" s="48"/>
      <c r="J224" s="48"/>
      <c r="K224" s="48"/>
      <c r="L224" s="48">
        <v>37.505</v>
      </c>
      <c r="M224" s="48"/>
      <c r="N224" s="48"/>
    </row>
    <row r="225" spans="1:14" ht="22.5">
      <c r="A225" s="412"/>
      <c r="B225" s="405"/>
      <c r="C225" s="417" t="s">
        <v>154</v>
      </c>
      <c r="D225" s="24" t="s">
        <v>120</v>
      </c>
      <c r="E225" s="25">
        <f>SUM(E226:E230)</f>
        <v>36063</v>
      </c>
      <c r="F225" s="26">
        <v>3</v>
      </c>
      <c r="G225" s="25">
        <f>SUM(G226:G230)</f>
        <v>4.35</v>
      </c>
      <c r="H225" s="25">
        <f>SUM(H226:H230)</f>
        <v>4337.7</v>
      </c>
      <c r="I225" s="48">
        <f>SUM(I226:I230)</f>
        <v>2.704</v>
      </c>
      <c r="J225" s="48"/>
      <c r="K225" s="48">
        <f>SUM(K226:K228)</f>
        <v>1.547</v>
      </c>
      <c r="L225" s="48"/>
      <c r="M225" s="48"/>
      <c r="N225" s="48"/>
    </row>
    <row r="226" spans="1:14" ht="12.75">
      <c r="A226" s="412"/>
      <c r="B226" s="405"/>
      <c r="C226" s="417"/>
      <c r="D226" s="24">
        <v>2011</v>
      </c>
      <c r="E226" s="25">
        <v>7903</v>
      </c>
      <c r="F226" s="26">
        <v>3</v>
      </c>
      <c r="G226" s="25">
        <v>1.32</v>
      </c>
      <c r="H226" s="25">
        <v>1203.7</v>
      </c>
      <c r="I226" s="48">
        <v>0.649</v>
      </c>
      <c r="J226" s="48"/>
      <c r="K226" s="48">
        <v>0.716</v>
      </c>
      <c r="L226" s="48"/>
      <c r="M226" s="48"/>
      <c r="N226" s="48"/>
    </row>
    <row r="227" spans="1:14" ht="12.75">
      <c r="A227" s="412"/>
      <c r="B227" s="405"/>
      <c r="C227" s="417"/>
      <c r="D227" s="24">
        <v>2012</v>
      </c>
      <c r="E227" s="25">
        <v>8210</v>
      </c>
      <c r="F227" s="26">
        <v>3</v>
      </c>
      <c r="G227" s="25">
        <v>0.94</v>
      </c>
      <c r="H227" s="25">
        <v>897.5</v>
      </c>
      <c r="I227" s="48">
        <v>0.519</v>
      </c>
      <c r="J227" s="48"/>
      <c r="K227" s="48">
        <v>0.434</v>
      </c>
      <c r="L227" s="48"/>
      <c r="M227" s="48"/>
      <c r="N227" s="48"/>
    </row>
    <row r="228" spans="1:14" ht="12.75">
      <c r="A228" s="412"/>
      <c r="B228" s="405"/>
      <c r="C228" s="417"/>
      <c r="D228" s="24">
        <v>2013</v>
      </c>
      <c r="E228" s="25">
        <v>7650</v>
      </c>
      <c r="F228" s="26">
        <v>3</v>
      </c>
      <c r="G228" s="25">
        <v>0.91</v>
      </c>
      <c r="H228" s="25">
        <v>870.5</v>
      </c>
      <c r="I228" s="48">
        <v>0.512</v>
      </c>
      <c r="J228" s="48"/>
      <c r="K228" s="48">
        <v>0.397</v>
      </c>
      <c r="L228" s="48"/>
      <c r="M228" s="48"/>
      <c r="N228" s="48"/>
    </row>
    <row r="229" spans="1:14" ht="12.75">
      <c r="A229" s="412"/>
      <c r="B229" s="405"/>
      <c r="C229" s="417"/>
      <c r="D229" s="24">
        <v>2014</v>
      </c>
      <c r="E229" s="25">
        <v>6150</v>
      </c>
      <c r="F229" s="26">
        <v>3</v>
      </c>
      <c r="G229" s="25">
        <v>0.59</v>
      </c>
      <c r="H229" s="25">
        <v>683</v>
      </c>
      <c r="I229" s="48">
        <v>0.512</v>
      </c>
      <c r="J229" s="48"/>
      <c r="K229" s="48"/>
      <c r="L229" s="48"/>
      <c r="M229" s="48"/>
      <c r="N229" s="48"/>
    </row>
    <row r="230" spans="1:14" ht="12.75">
      <c r="A230" s="412"/>
      <c r="B230" s="405"/>
      <c r="C230" s="417"/>
      <c r="D230" s="24">
        <v>2015</v>
      </c>
      <c r="E230" s="25">
        <v>6150</v>
      </c>
      <c r="F230" s="26">
        <v>3</v>
      </c>
      <c r="G230" s="25">
        <v>0.59</v>
      </c>
      <c r="H230" s="25">
        <v>683</v>
      </c>
      <c r="I230" s="48">
        <v>0.512</v>
      </c>
      <c r="J230" s="48"/>
      <c r="K230" s="48"/>
      <c r="L230" s="48"/>
      <c r="M230" s="48"/>
      <c r="N230" s="48"/>
    </row>
    <row r="231" spans="1:14" ht="22.5">
      <c r="A231" s="412"/>
      <c r="B231" s="405"/>
      <c r="C231" s="411" t="s">
        <v>155</v>
      </c>
      <c r="D231" s="24" t="s">
        <v>120</v>
      </c>
      <c r="E231" s="25">
        <f>SUM(E232:E236)</f>
        <v>52480</v>
      </c>
      <c r="F231" s="26">
        <v>3</v>
      </c>
      <c r="G231" s="25">
        <f>SUM(G232:G236)</f>
        <v>8.45</v>
      </c>
      <c r="H231" s="25">
        <f>SUM(H232:H236)</f>
        <v>6985.000000000001</v>
      </c>
      <c r="I231" s="48"/>
      <c r="J231" s="48"/>
      <c r="K231" s="48">
        <f>SUM(K232:K236)</f>
        <v>11.405999999999999</v>
      </c>
      <c r="L231" s="48"/>
      <c r="M231" s="48"/>
      <c r="N231" s="48"/>
    </row>
    <row r="232" spans="1:14" ht="12.75">
      <c r="A232" s="412"/>
      <c r="B232" s="405"/>
      <c r="C232" s="412"/>
      <c r="D232" s="24">
        <v>2011</v>
      </c>
      <c r="E232" s="25">
        <v>7357</v>
      </c>
      <c r="F232" s="26">
        <v>3</v>
      </c>
      <c r="G232" s="25">
        <v>1.01</v>
      </c>
      <c r="H232" s="25">
        <v>748.8</v>
      </c>
      <c r="I232" s="48"/>
      <c r="J232" s="48"/>
      <c r="K232" s="48">
        <v>1.369</v>
      </c>
      <c r="L232" s="48"/>
      <c r="M232" s="48"/>
      <c r="N232" s="48"/>
    </row>
    <row r="233" spans="1:14" ht="12.75">
      <c r="A233" s="412"/>
      <c r="B233" s="405"/>
      <c r="C233" s="412"/>
      <c r="D233" s="24">
        <v>2012</v>
      </c>
      <c r="E233" s="25">
        <v>14000</v>
      </c>
      <c r="F233" s="26">
        <v>3</v>
      </c>
      <c r="G233" s="25">
        <v>1.74</v>
      </c>
      <c r="H233" s="25">
        <v>1278.51</v>
      </c>
      <c r="I233" s="48"/>
      <c r="J233" s="48"/>
      <c r="K233" s="48">
        <v>2.339</v>
      </c>
      <c r="L233" s="48"/>
      <c r="M233" s="48"/>
      <c r="N233" s="48"/>
    </row>
    <row r="234" spans="1:14" ht="12.75">
      <c r="A234" s="412"/>
      <c r="B234" s="405"/>
      <c r="C234" s="412"/>
      <c r="D234" s="24">
        <v>2013</v>
      </c>
      <c r="E234" s="25">
        <f>3900+7357</f>
        <v>11257</v>
      </c>
      <c r="F234" s="26">
        <v>3</v>
      </c>
      <c r="G234" s="25">
        <v>1.62</v>
      </c>
      <c r="H234" s="25">
        <v>1946.41</v>
      </c>
      <c r="I234" s="48"/>
      <c r="J234" s="48"/>
      <c r="K234" s="48">
        <v>2.19</v>
      </c>
      <c r="L234" s="48"/>
      <c r="M234" s="48"/>
      <c r="N234" s="48"/>
    </row>
    <row r="235" spans="1:14" ht="12.75">
      <c r="A235" s="412"/>
      <c r="B235" s="405"/>
      <c r="C235" s="412"/>
      <c r="D235" s="24">
        <v>2014</v>
      </c>
      <c r="E235" s="25">
        <v>12866</v>
      </c>
      <c r="F235" s="26">
        <v>3</v>
      </c>
      <c r="G235" s="25">
        <v>2.34</v>
      </c>
      <c r="H235" s="25">
        <v>1730.56</v>
      </c>
      <c r="I235" s="48"/>
      <c r="J235" s="48"/>
      <c r="K235" s="48">
        <v>3.165</v>
      </c>
      <c r="L235" s="48"/>
      <c r="M235" s="48"/>
      <c r="N235" s="48"/>
    </row>
    <row r="236" spans="1:14" ht="12.75">
      <c r="A236" s="419"/>
      <c r="B236" s="406"/>
      <c r="C236" s="419"/>
      <c r="D236" s="24">
        <v>2015</v>
      </c>
      <c r="E236" s="25">
        <v>7000</v>
      </c>
      <c r="F236" s="26">
        <v>3</v>
      </c>
      <c r="G236" s="25">
        <v>1.74</v>
      </c>
      <c r="H236" s="25">
        <v>1280.72</v>
      </c>
      <c r="I236" s="48"/>
      <c r="J236" s="48"/>
      <c r="K236" s="48">
        <v>2.343</v>
      </c>
      <c r="L236" s="48"/>
      <c r="M236" s="48"/>
      <c r="N236" s="48"/>
    </row>
    <row r="237" spans="1:14" ht="12.75">
      <c r="A237" s="417"/>
      <c r="B237" s="534"/>
      <c r="C237" s="505" t="s">
        <v>116</v>
      </c>
      <c r="D237" s="286" t="s">
        <v>120</v>
      </c>
      <c r="E237" s="50">
        <f>E240+E243+E246+E247+E248</f>
        <v>4650039.17</v>
      </c>
      <c r="F237" s="51">
        <v>3</v>
      </c>
      <c r="G237" s="437">
        <f>SUM(G240:G248)</f>
        <v>594.1911479999999</v>
      </c>
      <c r="H237" s="459">
        <f>H240+H243+H246+H247+H248</f>
        <v>453313.732</v>
      </c>
      <c r="I237" s="442">
        <f>I240+I243+I246+I247+I248</f>
        <v>32.275000000000006</v>
      </c>
      <c r="J237" s="442">
        <f>J240+J243+J246+J247+J248</f>
        <v>1.5470000000000002</v>
      </c>
      <c r="K237" s="442">
        <f>K240+K243+K246+K247+K248</f>
        <v>605.5799999999999</v>
      </c>
      <c r="L237" s="442">
        <f>L240+L243+L246+L247+L248</f>
        <v>333.55558</v>
      </c>
      <c r="M237" s="442"/>
      <c r="N237" s="340"/>
    </row>
    <row r="238" spans="1:14" ht="12.75">
      <c r="A238" s="417"/>
      <c r="B238" s="534"/>
      <c r="C238" s="505"/>
      <c r="D238" s="286"/>
      <c r="E238" s="50">
        <f>E241+E244</f>
        <v>699500</v>
      </c>
      <c r="F238" s="51">
        <v>4</v>
      </c>
      <c r="G238" s="437"/>
      <c r="H238" s="459"/>
      <c r="I238" s="442"/>
      <c r="J238" s="442"/>
      <c r="K238" s="442"/>
      <c r="L238" s="442"/>
      <c r="M238" s="442"/>
      <c r="N238" s="340"/>
    </row>
    <row r="239" spans="1:14" ht="12.75">
      <c r="A239" s="417"/>
      <c r="B239" s="534"/>
      <c r="C239" s="505"/>
      <c r="D239" s="286"/>
      <c r="E239" s="50">
        <f>E237+E238</f>
        <v>5349539.17</v>
      </c>
      <c r="F239" s="51">
        <v>5</v>
      </c>
      <c r="G239" s="437"/>
      <c r="H239" s="459"/>
      <c r="I239" s="442"/>
      <c r="J239" s="442"/>
      <c r="K239" s="442"/>
      <c r="L239" s="442"/>
      <c r="M239" s="442"/>
      <c r="N239" s="340"/>
    </row>
    <row r="240" spans="1:14" ht="12.75">
      <c r="A240" s="417"/>
      <c r="B240" s="534"/>
      <c r="C240" s="505"/>
      <c r="D240" s="286">
        <v>2011</v>
      </c>
      <c r="E240" s="50">
        <v>531173</v>
      </c>
      <c r="F240" s="51">
        <v>3</v>
      </c>
      <c r="G240" s="437">
        <f>SUMIF($D$152:$D$236,D240,$G$152:$G$236)</f>
        <v>100.42099999999999</v>
      </c>
      <c r="H240" s="437">
        <f>SUMIF($D$152:$D$236,$D240,H$152:H$236)</f>
        <v>81888.85999999999</v>
      </c>
      <c r="I240" s="340">
        <f>SUMIF($D$152:$D$236,$D240,I$152:I$236)</f>
        <v>12.693000000000001</v>
      </c>
      <c r="J240" s="340">
        <f>SUMIF($D$152:$D$236,$D240,J$152:J$236)</f>
        <v>1.233</v>
      </c>
      <c r="K240" s="340">
        <f>SUMIF($D$152:$D$236,$D240,K$152:K$236)</f>
        <v>68.29799999999999</v>
      </c>
      <c r="L240" s="340">
        <f>SUMIF($D$152:$D$236,$D240,L$152:L$236)</f>
        <v>93.98957999999999</v>
      </c>
      <c r="M240" s="340"/>
      <c r="N240" s="340"/>
    </row>
    <row r="241" spans="1:14" ht="12.75">
      <c r="A241" s="417"/>
      <c r="B241" s="534"/>
      <c r="C241" s="505"/>
      <c r="D241" s="286"/>
      <c r="E241" s="50">
        <f>E188</f>
        <v>350000</v>
      </c>
      <c r="F241" s="51">
        <v>4</v>
      </c>
      <c r="G241" s="437"/>
      <c r="H241" s="437"/>
      <c r="I241" s="340"/>
      <c r="J241" s="340"/>
      <c r="K241" s="340"/>
      <c r="L241" s="340"/>
      <c r="M241" s="340"/>
      <c r="N241" s="340"/>
    </row>
    <row r="242" spans="1:14" ht="12.75">
      <c r="A242" s="417"/>
      <c r="B242" s="534"/>
      <c r="C242" s="505"/>
      <c r="D242" s="286"/>
      <c r="E242" s="50">
        <f>E240+E241</f>
        <v>881173</v>
      </c>
      <c r="F242" s="51">
        <v>5</v>
      </c>
      <c r="G242" s="437"/>
      <c r="H242" s="437"/>
      <c r="I242" s="340"/>
      <c r="J242" s="340"/>
      <c r="K242" s="340"/>
      <c r="L242" s="340"/>
      <c r="M242" s="340"/>
      <c r="N242" s="340"/>
    </row>
    <row r="243" spans="1:14" ht="12.75">
      <c r="A243" s="417"/>
      <c r="B243" s="535"/>
      <c r="C243" s="506"/>
      <c r="D243" s="286">
        <v>2012</v>
      </c>
      <c r="E243" s="50">
        <f>E233+E227+E221+E217+E212+E206+E195+E192+E169+E164+E159+E154</f>
        <v>962926.75</v>
      </c>
      <c r="F243" s="51">
        <v>3</v>
      </c>
      <c r="G243" s="437">
        <v>114.58</v>
      </c>
      <c r="H243" s="437">
        <f>SUMIF($D$152:$D$236,$D243,H$152:H$236)</f>
        <v>79971.402</v>
      </c>
      <c r="I243" s="340">
        <f>SUMIF($D$152:$D$236,$D243,I$152:I$236)</f>
        <v>7.9350000000000005</v>
      </c>
      <c r="J243" s="340">
        <f>SUMIF($D$152:$D$236,$D243,J$152:J$236)</f>
        <v>0.274</v>
      </c>
      <c r="K243" s="340">
        <f>SUMIF($D$152:$D$236,$D243,K$152:K$236)</f>
        <v>105.476</v>
      </c>
      <c r="L243" s="340">
        <f>SUMIF($D$152:$D$236,$D243,L$152:L$236)</f>
        <v>80.677</v>
      </c>
      <c r="M243" s="340"/>
      <c r="N243" s="340"/>
    </row>
    <row r="244" spans="1:14" ht="12.75">
      <c r="A244" s="417"/>
      <c r="B244" s="535"/>
      <c r="C244" s="506"/>
      <c r="D244" s="286"/>
      <c r="E244" s="50">
        <f>E189</f>
        <v>349500</v>
      </c>
      <c r="F244" s="51">
        <v>4</v>
      </c>
      <c r="G244" s="437"/>
      <c r="H244" s="437"/>
      <c r="I244" s="340"/>
      <c r="J244" s="340"/>
      <c r="K244" s="340"/>
      <c r="L244" s="340"/>
      <c r="M244" s="340"/>
      <c r="N244" s="340"/>
    </row>
    <row r="245" spans="1:14" ht="12.75">
      <c r="A245" s="417"/>
      <c r="B245" s="535"/>
      <c r="C245" s="506"/>
      <c r="D245" s="286"/>
      <c r="E245" s="50">
        <f>E243+E244</f>
        <v>1312426.75</v>
      </c>
      <c r="F245" s="51">
        <v>5</v>
      </c>
      <c r="G245" s="437"/>
      <c r="H245" s="437"/>
      <c r="I245" s="340"/>
      <c r="J245" s="340"/>
      <c r="K245" s="340"/>
      <c r="L245" s="340"/>
      <c r="M245" s="340"/>
      <c r="N245" s="340"/>
    </row>
    <row r="246" spans="1:14" ht="12.75">
      <c r="A246" s="417"/>
      <c r="B246" s="535"/>
      <c r="C246" s="506"/>
      <c r="D246" s="49">
        <v>2013</v>
      </c>
      <c r="E246" s="50">
        <f>E155+E160+E171+E175+E178+E180+E183+E193+E196+E201+E207+E213+E218+E222+E228+E234</f>
        <v>1336530.92</v>
      </c>
      <c r="F246" s="51">
        <v>3</v>
      </c>
      <c r="G246" s="52">
        <v>160.77</v>
      </c>
      <c r="H246" s="52">
        <f>H155+H160+H171+H175+H178+H180+H183+H193+H196+H201+H207+H213+H218+H222+H228+H234</f>
        <v>131842.28</v>
      </c>
      <c r="I246" s="53">
        <f>I155+I160+I171+I175+I180+I183+I193+I196+I201+I207+I213+I218+I222+I228+I234</f>
        <v>8.074000000000002</v>
      </c>
      <c r="J246" s="53">
        <f>J155+J160+J171+J175+J180+J183+J193+J196+J201+J207+J213+J218+J222+J228+J234</f>
        <v>0.014</v>
      </c>
      <c r="K246" s="53">
        <f>K155+K160+K171+K175+K178+K180+K183+K193+K196+K201+K207+K213+K218+K222+K228+K234</f>
        <v>179.38299999999998</v>
      </c>
      <c r="L246" s="53">
        <f>L155+L160+L171+L175+L180+L183+L193+L196+L201+L207+L213+L218+L222+L228+L234</f>
        <v>72.114</v>
      </c>
      <c r="M246" s="53"/>
      <c r="N246" s="53"/>
    </row>
    <row r="247" spans="1:14" ht="12.75">
      <c r="A247" s="417"/>
      <c r="B247" s="535"/>
      <c r="C247" s="506"/>
      <c r="D247" s="49">
        <v>2014</v>
      </c>
      <c r="E247" s="50">
        <f>E156+E172+E176+E197+E199+E208+E214+E223+E229+E235</f>
        <v>831017.85</v>
      </c>
      <c r="F247" s="51">
        <v>3</v>
      </c>
      <c r="G247" s="52">
        <f>G156+G172+G176+G197+G199+G208+G214+G223+G229+G235</f>
        <v>101.538913</v>
      </c>
      <c r="H247" s="52">
        <f>H156+H172+H176+H197+H199+H208+H214+H223+H229+H235</f>
        <v>74519.76</v>
      </c>
      <c r="I247" s="53">
        <f>I156+I172+I176+I197+I199+I208+I214+I223+I229+I235</f>
        <v>1.716</v>
      </c>
      <c r="J247" s="53">
        <f>J156+J172+J176+J199+J208+J214+J223+J229+J235</f>
        <v>0.012</v>
      </c>
      <c r="K247" s="53">
        <f>K156+K172+K176+K197+K199+K208+K214+K223+K229+K235</f>
        <v>114.722</v>
      </c>
      <c r="L247" s="53">
        <f>L156+L172+L176+L199+L208+L214+L223+L229+L235</f>
        <v>43.207</v>
      </c>
      <c r="M247" s="53"/>
      <c r="N247" s="53"/>
    </row>
    <row r="248" spans="1:14" ht="12" customHeight="1">
      <c r="A248" s="417"/>
      <c r="B248" s="535"/>
      <c r="C248" s="506"/>
      <c r="D248" s="49">
        <v>2015</v>
      </c>
      <c r="E248" s="50">
        <f>E157+E173+E177+E181+E184+E198+E202+E209+E215+E224+E230+E236</f>
        <v>988390.65</v>
      </c>
      <c r="F248" s="51">
        <v>3</v>
      </c>
      <c r="G248" s="52">
        <f aca="true" t="shared" si="1" ref="G248:L248">G157+G173+G177+G181+G184+G198+G202+G209+G215+G224+G230+G236</f>
        <v>116.881235</v>
      </c>
      <c r="H248" s="52">
        <f t="shared" si="1"/>
        <v>85091.43</v>
      </c>
      <c r="I248" s="53">
        <f t="shared" si="1"/>
        <v>1.857</v>
      </c>
      <c r="J248" s="53">
        <f t="shared" si="1"/>
        <v>0.014</v>
      </c>
      <c r="K248" s="53">
        <f t="shared" si="1"/>
        <v>137.70099999999996</v>
      </c>
      <c r="L248" s="53">
        <f t="shared" si="1"/>
        <v>43.568000000000005</v>
      </c>
      <c r="M248" s="53"/>
      <c r="N248" s="53"/>
    </row>
    <row r="249" spans="1:14" ht="12.75">
      <c r="A249" s="302" t="s">
        <v>156</v>
      </c>
      <c r="B249" s="441"/>
      <c r="C249" s="441"/>
      <c r="D249" s="441"/>
      <c r="E249" s="441"/>
      <c r="F249" s="441"/>
      <c r="G249" s="441"/>
      <c r="H249" s="441"/>
      <c r="I249" s="441"/>
      <c r="J249" s="441"/>
      <c r="K249" s="441"/>
      <c r="L249" s="441"/>
      <c r="M249" s="441"/>
      <c r="N249" s="441"/>
    </row>
    <row r="250" spans="1:14" ht="22.5">
      <c r="A250" s="417">
        <v>25</v>
      </c>
      <c r="B250" s="424" t="s">
        <v>289</v>
      </c>
      <c r="C250" s="403" t="s">
        <v>157</v>
      </c>
      <c r="D250" s="56" t="s">
        <v>120</v>
      </c>
      <c r="E250" s="25">
        <f>SUM(E251:E255)</f>
        <v>40</v>
      </c>
      <c r="F250" s="65">
        <v>3</v>
      </c>
      <c r="G250" s="25">
        <f>SUM(G251:G255)</f>
        <v>0.13399999999999998</v>
      </c>
      <c r="H250" s="25">
        <f>SUM(H251:H255)</f>
        <v>222</v>
      </c>
      <c r="I250" s="48">
        <f>SUM(I251:I255)</f>
        <v>0.10999999999999999</v>
      </c>
      <c r="J250" s="66"/>
      <c r="K250" s="66"/>
      <c r="L250" s="66"/>
      <c r="M250" s="66"/>
      <c r="N250" s="66"/>
    </row>
    <row r="251" spans="1:14" ht="12.75">
      <c r="A251" s="417"/>
      <c r="B251" s="424"/>
      <c r="C251" s="403"/>
      <c r="D251" s="65">
        <v>2011</v>
      </c>
      <c r="E251" s="25">
        <v>8</v>
      </c>
      <c r="F251" s="65">
        <v>3</v>
      </c>
      <c r="G251" s="25">
        <v>0.03</v>
      </c>
      <c r="H251" s="25">
        <v>44.4</v>
      </c>
      <c r="I251" s="48">
        <v>0.022</v>
      </c>
      <c r="J251" s="66"/>
      <c r="K251" s="66"/>
      <c r="L251" s="66"/>
      <c r="M251" s="66"/>
      <c r="N251" s="66"/>
    </row>
    <row r="252" spans="1:14" ht="12.75">
      <c r="A252" s="417"/>
      <c r="B252" s="424"/>
      <c r="C252" s="403"/>
      <c r="D252" s="65">
        <v>2012</v>
      </c>
      <c r="E252" s="25">
        <v>8</v>
      </c>
      <c r="F252" s="65">
        <v>3</v>
      </c>
      <c r="G252" s="25">
        <v>0.026</v>
      </c>
      <c r="H252" s="25">
        <v>44.4</v>
      </c>
      <c r="I252" s="48">
        <v>0.022</v>
      </c>
      <c r="J252" s="66"/>
      <c r="K252" s="66"/>
      <c r="L252" s="66"/>
      <c r="M252" s="66"/>
      <c r="N252" s="66"/>
    </row>
    <row r="253" spans="1:14" ht="12.75">
      <c r="A253" s="417"/>
      <c r="B253" s="424"/>
      <c r="C253" s="403"/>
      <c r="D253" s="65">
        <v>2013</v>
      </c>
      <c r="E253" s="25">
        <v>8</v>
      </c>
      <c r="F253" s="65">
        <v>3</v>
      </c>
      <c r="G253" s="25">
        <v>0.026</v>
      </c>
      <c r="H253" s="25">
        <v>44.4</v>
      </c>
      <c r="I253" s="48">
        <v>0.022</v>
      </c>
      <c r="J253" s="66"/>
      <c r="K253" s="66"/>
      <c r="L253" s="66"/>
      <c r="M253" s="66"/>
      <c r="N253" s="66"/>
    </row>
    <row r="254" spans="1:14" ht="12.75">
      <c r="A254" s="417"/>
      <c r="B254" s="424"/>
      <c r="C254" s="403"/>
      <c r="D254" s="65">
        <v>2014</v>
      </c>
      <c r="E254" s="25">
        <v>8</v>
      </c>
      <c r="F254" s="65">
        <v>3</v>
      </c>
      <c r="G254" s="25">
        <v>0.026</v>
      </c>
      <c r="H254" s="25">
        <v>44.4</v>
      </c>
      <c r="I254" s="48">
        <v>0.022</v>
      </c>
      <c r="J254" s="66"/>
      <c r="K254" s="66"/>
      <c r="L254" s="66"/>
      <c r="M254" s="66"/>
      <c r="N254" s="66"/>
    </row>
    <row r="255" spans="1:14" ht="12.75">
      <c r="A255" s="417"/>
      <c r="B255" s="424"/>
      <c r="C255" s="403"/>
      <c r="D255" s="65">
        <v>2015</v>
      </c>
      <c r="E255" s="25">
        <v>8</v>
      </c>
      <c r="F255" s="65">
        <v>3</v>
      </c>
      <c r="G255" s="25">
        <v>0.026</v>
      </c>
      <c r="H255" s="25">
        <v>44.4</v>
      </c>
      <c r="I255" s="48">
        <v>0.022</v>
      </c>
      <c r="J255" s="66"/>
      <c r="K255" s="66"/>
      <c r="L255" s="66"/>
      <c r="M255" s="66"/>
      <c r="N255" s="66"/>
    </row>
    <row r="256" spans="1:14" ht="22.5">
      <c r="A256" s="417">
        <v>26</v>
      </c>
      <c r="B256" s="424" t="s">
        <v>159</v>
      </c>
      <c r="C256" s="403" t="s">
        <v>161</v>
      </c>
      <c r="D256" s="56" t="s">
        <v>158</v>
      </c>
      <c r="E256" s="25">
        <f>SUM(E257:E261)</f>
        <v>225</v>
      </c>
      <c r="F256" s="67">
        <v>3</v>
      </c>
      <c r="G256" s="25">
        <f>SUM(G257:G261)</f>
        <v>0.13</v>
      </c>
      <c r="H256" s="25">
        <f>SUM(H257:H261)</f>
        <v>594.7</v>
      </c>
      <c r="I256" s="68"/>
      <c r="J256" s="68"/>
      <c r="K256" s="68"/>
      <c r="L256" s="68"/>
      <c r="M256" s="48">
        <f>SUM(M257:M261)</f>
        <v>1.0030000000000001</v>
      </c>
      <c r="N256" s="68"/>
    </row>
    <row r="257" spans="1:14" ht="12.75">
      <c r="A257" s="417"/>
      <c r="B257" s="424"/>
      <c r="C257" s="403"/>
      <c r="D257" s="65">
        <v>2011</v>
      </c>
      <c r="E257" s="25">
        <v>225</v>
      </c>
      <c r="F257" s="67">
        <v>3</v>
      </c>
      <c r="G257" s="25">
        <v>0.01</v>
      </c>
      <c r="H257" s="25">
        <v>56.3</v>
      </c>
      <c r="I257" s="68"/>
      <c r="J257" s="68"/>
      <c r="K257" s="68"/>
      <c r="L257" s="68"/>
      <c r="M257" s="48">
        <v>0.095</v>
      </c>
      <c r="N257" s="68"/>
    </row>
    <row r="258" spans="1:14" ht="12.75">
      <c r="A258" s="417"/>
      <c r="B258" s="424"/>
      <c r="C258" s="403"/>
      <c r="D258" s="65">
        <v>2012</v>
      </c>
      <c r="E258" s="25"/>
      <c r="F258" s="65"/>
      <c r="G258" s="25">
        <v>0.03</v>
      </c>
      <c r="H258" s="25">
        <v>134.6</v>
      </c>
      <c r="I258" s="68"/>
      <c r="J258" s="68"/>
      <c r="K258" s="68"/>
      <c r="L258" s="68"/>
      <c r="M258" s="48">
        <v>0.227</v>
      </c>
      <c r="N258" s="68"/>
    </row>
    <row r="259" spans="1:14" ht="12.75">
      <c r="A259" s="417"/>
      <c r="B259" s="424"/>
      <c r="C259" s="403"/>
      <c r="D259" s="65">
        <v>2013</v>
      </c>
      <c r="E259" s="25"/>
      <c r="F259" s="65"/>
      <c r="G259" s="25">
        <v>0.03</v>
      </c>
      <c r="H259" s="25">
        <v>134.6</v>
      </c>
      <c r="I259" s="68"/>
      <c r="J259" s="68"/>
      <c r="K259" s="68"/>
      <c r="L259" s="68"/>
      <c r="M259" s="48">
        <v>0.227</v>
      </c>
      <c r="N259" s="68"/>
    </row>
    <row r="260" spans="1:14" ht="12.75">
      <c r="A260" s="417"/>
      <c r="B260" s="424"/>
      <c r="C260" s="403"/>
      <c r="D260" s="65">
        <v>2014</v>
      </c>
      <c r="E260" s="25"/>
      <c r="F260" s="65"/>
      <c r="G260" s="25">
        <v>0.03</v>
      </c>
      <c r="H260" s="25">
        <v>134.6</v>
      </c>
      <c r="I260" s="68"/>
      <c r="J260" s="68"/>
      <c r="K260" s="68"/>
      <c r="L260" s="68"/>
      <c r="M260" s="48">
        <v>0.227</v>
      </c>
      <c r="N260" s="68"/>
    </row>
    <row r="261" spans="1:14" ht="12.75">
      <c r="A261" s="417"/>
      <c r="B261" s="424"/>
      <c r="C261" s="403"/>
      <c r="D261" s="65">
        <v>2015</v>
      </c>
      <c r="E261" s="25"/>
      <c r="F261" s="65"/>
      <c r="G261" s="25">
        <v>0.03</v>
      </c>
      <c r="H261" s="25">
        <v>134.6</v>
      </c>
      <c r="I261" s="68"/>
      <c r="J261" s="68"/>
      <c r="K261" s="68"/>
      <c r="L261" s="68"/>
      <c r="M261" s="48">
        <v>0.227</v>
      </c>
      <c r="N261" s="68"/>
    </row>
    <row r="262" spans="1:14" ht="22.5">
      <c r="A262" s="417">
        <v>27</v>
      </c>
      <c r="B262" s="424" t="s">
        <v>160</v>
      </c>
      <c r="C262" s="403" t="s">
        <v>161</v>
      </c>
      <c r="D262" s="56" t="s">
        <v>120</v>
      </c>
      <c r="E262" s="25">
        <f>SUM(E263:E267)</f>
        <v>110</v>
      </c>
      <c r="F262" s="67">
        <v>3</v>
      </c>
      <c r="G262" s="25">
        <f>SUM(G263:G267)</f>
        <v>0.14</v>
      </c>
      <c r="H262" s="25">
        <f>SUM(H263:H267)</f>
        <v>325.1</v>
      </c>
      <c r="I262" s="48">
        <f>SUM(I263:I267)</f>
        <v>0.13</v>
      </c>
      <c r="J262" s="68"/>
      <c r="K262" s="68"/>
      <c r="L262" s="68"/>
      <c r="M262" s="68"/>
      <c r="N262" s="68"/>
    </row>
    <row r="263" spans="1:14" ht="12.75">
      <c r="A263" s="417"/>
      <c r="B263" s="424"/>
      <c r="C263" s="403"/>
      <c r="D263" s="65">
        <v>2011</v>
      </c>
      <c r="E263" s="25">
        <v>110</v>
      </c>
      <c r="F263" s="67">
        <v>3</v>
      </c>
      <c r="G263" s="25">
        <v>0.02</v>
      </c>
      <c r="H263" s="25">
        <v>35.1</v>
      </c>
      <c r="I263" s="48">
        <v>0.014</v>
      </c>
      <c r="J263" s="68"/>
      <c r="K263" s="68"/>
      <c r="L263" s="68"/>
      <c r="M263" s="68"/>
      <c r="N263" s="68"/>
    </row>
    <row r="264" spans="1:14" ht="12.75">
      <c r="A264" s="417"/>
      <c r="B264" s="424"/>
      <c r="C264" s="403"/>
      <c r="D264" s="65">
        <v>2012</v>
      </c>
      <c r="E264" s="25"/>
      <c r="F264" s="65"/>
      <c r="G264" s="25">
        <v>0.03</v>
      </c>
      <c r="H264" s="25">
        <v>72.5</v>
      </c>
      <c r="I264" s="48">
        <v>0.029</v>
      </c>
      <c r="J264" s="68"/>
      <c r="K264" s="68"/>
      <c r="L264" s="68"/>
      <c r="M264" s="68"/>
      <c r="N264" s="68"/>
    </row>
    <row r="265" spans="1:14" ht="12.75">
      <c r="A265" s="417"/>
      <c r="B265" s="424"/>
      <c r="C265" s="403"/>
      <c r="D265" s="65">
        <v>2013</v>
      </c>
      <c r="E265" s="25"/>
      <c r="F265" s="65"/>
      <c r="G265" s="25">
        <v>0.03</v>
      </c>
      <c r="H265" s="25">
        <v>72.5</v>
      </c>
      <c r="I265" s="48">
        <v>0.029</v>
      </c>
      <c r="J265" s="68"/>
      <c r="K265" s="68"/>
      <c r="L265" s="68"/>
      <c r="M265" s="68"/>
      <c r="N265" s="68"/>
    </row>
    <row r="266" spans="1:14" ht="12.75">
      <c r="A266" s="417"/>
      <c r="B266" s="424"/>
      <c r="C266" s="403"/>
      <c r="D266" s="65">
        <v>2014</v>
      </c>
      <c r="E266" s="25"/>
      <c r="F266" s="65"/>
      <c r="G266" s="25">
        <v>0.03</v>
      </c>
      <c r="H266" s="25">
        <v>72.5</v>
      </c>
      <c r="I266" s="48">
        <v>0.029</v>
      </c>
      <c r="J266" s="68"/>
      <c r="K266" s="68"/>
      <c r="L266" s="68"/>
      <c r="M266" s="68"/>
      <c r="N266" s="68"/>
    </row>
    <row r="267" spans="1:14" ht="12.75">
      <c r="A267" s="417"/>
      <c r="B267" s="424"/>
      <c r="C267" s="403"/>
      <c r="D267" s="65">
        <v>2015</v>
      </c>
      <c r="E267" s="25"/>
      <c r="F267" s="65"/>
      <c r="G267" s="25">
        <v>0.03</v>
      </c>
      <c r="H267" s="25">
        <v>72.5</v>
      </c>
      <c r="I267" s="48">
        <v>0.029</v>
      </c>
      <c r="J267" s="68"/>
      <c r="K267" s="68"/>
      <c r="L267" s="68"/>
      <c r="M267" s="68"/>
      <c r="N267" s="68"/>
    </row>
    <row r="268" spans="1:14" ht="22.5">
      <c r="A268" s="417">
        <v>28</v>
      </c>
      <c r="B268" s="424" t="s">
        <v>383</v>
      </c>
      <c r="C268" s="403" t="s">
        <v>161</v>
      </c>
      <c r="D268" s="56" t="s">
        <v>120</v>
      </c>
      <c r="E268" s="25">
        <f>SUM(E269:E273)</f>
        <v>17.5</v>
      </c>
      <c r="F268" s="67">
        <v>3</v>
      </c>
      <c r="G268" s="25">
        <f>SUM(G269:G273)</f>
        <v>0.06</v>
      </c>
      <c r="H268" s="25">
        <f>SUM(H269:H273)</f>
        <v>93.1</v>
      </c>
      <c r="I268" s="68"/>
      <c r="J268" s="68"/>
      <c r="K268" s="68"/>
      <c r="L268" s="48">
        <f>SUM(L269:L273)</f>
        <v>0.133</v>
      </c>
      <c r="M268" s="68"/>
      <c r="N268" s="68"/>
    </row>
    <row r="269" spans="1:14" ht="12.75">
      <c r="A269" s="417"/>
      <c r="B269" s="424"/>
      <c r="C269" s="403"/>
      <c r="D269" s="65">
        <v>2011</v>
      </c>
      <c r="E269" s="25">
        <v>3.5</v>
      </c>
      <c r="F269" s="67">
        <v>3</v>
      </c>
      <c r="G269" s="25">
        <v>0.01</v>
      </c>
      <c r="H269" s="25">
        <v>6.3</v>
      </c>
      <c r="I269" s="68"/>
      <c r="J269" s="68"/>
      <c r="K269" s="68"/>
      <c r="L269" s="48">
        <v>0.009</v>
      </c>
      <c r="M269" s="68"/>
      <c r="N269" s="68"/>
    </row>
    <row r="270" spans="1:14" ht="12.75">
      <c r="A270" s="417"/>
      <c r="B270" s="424"/>
      <c r="C270" s="403"/>
      <c r="D270" s="65">
        <v>2012</v>
      </c>
      <c r="E270" s="25">
        <v>3.5</v>
      </c>
      <c r="F270" s="67">
        <v>3</v>
      </c>
      <c r="G270" s="25">
        <v>0.01</v>
      </c>
      <c r="H270" s="25">
        <v>12.6</v>
      </c>
      <c r="I270" s="68"/>
      <c r="J270" s="68"/>
      <c r="K270" s="68"/>
      <c r="L270" s="48">
        <v>0.018</v>
      </c>
      <c r="M270" s="68"/>
      <c r="N270" s="68"/>
    </row>
    <row r="271" spans="1:14" ht="12.75">
      <c r="A271" s="417"/>
      <c r="B271" s="424"/>
      <c r="C271" s="403"/>
      <c r="D271" s="65">
        <v>2013</v>
      </c>
      <c r="E271" s="25">
        <v>3.5</v>
      </c>
      <c r="F271" s="67">
        <v>3</v>
      </c>
      <c r="G271" s="25">
        <v>0.01</v>
      </c>
      <c r="H271" s="25">
        <v>18.9</v>
      </c>
      <c r="I271" s="68"/>
      <c r="J271" s="68"/>
      <c r="K271" s="68"/>
      <c r="L271" s="48">
        <v>0.027</v>
      </c>
      <c r="M271" s="68"/>
      <c r="N271" s="68"/>
    </row>
    <row r="272" spans="1:14" ht="12.75">
      <c r="A272" s="417"/>
      <c r="B272" s="424"/>
      <c r="C272" s="403"/>
      <c r="D272" s="65">
        <v>2014</v>
      </c>
      <c r="E272" s="25">
        <v>3.5</v>
      </c>
      <c r="F272" s="67">
        <v>3</v>
      </c>
      <c r="G272" s="25">
        <v>0.01</v>
      </c>
      <c r="H272" s="25">
        <v>24.5</v>
      </c>
      <c r="I272" s="68"/>
      <c r="J272" s="68"/>
      <c r="K272" s="68"/>
      <c r="L272" s="48">
        <v>0.035</v>
      </c>
      <c r="M272" s="68"/>
      <c r="N272" s="68"/>
    </row>
    <row r="273" spans="1:14" ht="12.75">
      <c r="A273" s="417"/>
      <c r="B273" s="424"/>
      <c r="C273" s="403"/>
      <c r="D273" s="65">
        <v>2015</v>
      </c>
      <c r="E273" s="25">
        <v>3.5</v>
      </c>
      <c r="F273" s="67">
        <v>3</v>
      </c>
      <c r="G273" s="25">
        <v>0.02</v>
      </c>
      <c r="H273" s="25">
        <v>30.8</v>
      </c>
      <c r="I273" s="68"/>
      <c r="J273" s="68"/>
      <c r="K273" s="68"/>
      <c r="L273" s="48">
        <v>0.044</v>
      </c>
      <c r="M273" s="68"/>
      <c r="N273" s="68"/>
    </row>
    <row r="274" spans="1:14" ht="22.5">
      <c r="A274" s="417">
        <v>29</v>
      </c>
      <c r="B274" s="424" t="s">
        <v>162</v>
      </c>
      <c r="C274" s="403" t="s">
        <v>161</v>
      </c>
      <c r="D274" s="56" t="s">
        <v>120</v>
      </c>
      <c r="E274" s="25">
        <f>SUM(E275:E279)</f>
        <v>12.5</v>
      </c>
      <c r="F274" s="65">
        <v>3</v>
      </c>
      <c r="G274" s="25">
        <f>SUM(G275:G279)</f>
        <v>0.03</v>
      </c>
      <c r="H274" s="25">
        <f>SUM(H275:H279)</f>
        <v>63</v>
      </c>
      <c r="I274" s="66"/>
      <c r="J274" s="66"/>
      <c r="K274" s="66"/>
      <c r="L274" s="48">
        <f>SUM(L275:L279)</f>
        <v>0.09</v>
      </c>
      <c r="M274" s="68"/>
      <c r="N274" s="68"/>
    </row>
    <row r="275" spans="1:14" ht="12.75">
      <c r="A275" s="417"/>
      <c r="B275" s="424"/>
      <c r="C275" s="403"/>
      <c r="D275" s="65">
        <v>2011</v>
      </c>
      <c r="E275" s="25">
        <v>2.5</v>
      </c>
      <c r="F275" s="65">
        <v>3</v>
      </c>
      <c r="G275" s="25"/>
      <c r="H275" s="25">
        <v>4.2</v>
      </c>
      <c r="I275" s="66"/>
      <c r="J275" s="66"/>
      <c r="K275" s="66"/>
      <c r="L275" s="48">
        <v>0.006</v>
      </c>
      <c r="M275" s="68"/>
      <c r="N275" s="68"/>
    </row>
    <row r="276" spans="1:14" ht="12.75">
      <c r="A276" s="417"/>
      <c r="B276" s="424"/>
      <c r="C276" s="403"/>
      <c r="D276" s="65">
        <v>2012</v>
      </c>
      <c r="E276" s="25">
        <v>2.5</v>
      </c>
      <c r="F276" s="65">
        <v>3</v>
      </c>
      <c r="G276" s="25">
        <v>0.01</v>
      </c>
      <c r="H276" s="25">
        <v>8.4</v>
      </c>
      <c r="I276" s="66"/>
      <c r="J276" s="66"/>
      <c r="K276" s="66"/>
      <c r="L276" s="48">
        <v>0.012</v>
      </c>
      <c r="M276" s="68"/>
      <c r="N276" s="68"/>
    </row>
    <row r="277" spans="1:14" ht="12.75">
      <c r="A277" s="417"/>
      <c r="B277" s="424"/>
      <c r="C277" s="403"/>
      <c r="D277" s="65">
        <v>2013</v>
      </c>
      <c r="E277" s="25">
        <v>2.5</v>
      </c>
      <c r="F277" s="65">
        <v>3</v>
      </c>
      <c r="G277" s="25">
        <v>0.01</v>
      </c>
      <c r="H277" s="25">
        <v>12.6</v>
      </c>
      <c r="I277" s="66"/>
      <c r="J277" s="66"/>
      <c r="K277" s="66"/>
      <c r="L277" s="48">
        <v>0.018</v>
      </c>
      <c r="M277" s="68"/>
      <c r="N277" s="68"/>
    </row>
    <row r="278" spans="1:14" ht="12.75">
      <c r="A278" s="417"/>
      <c r="B278" s="424"/>
      <c r="C278" s="403"/>
      <c r="D278" s="65">
        <v>2014</v>
      </c>
      <c r="E278" s="25">
        <v>2.5</v>
      </c>
      <c r="F278" s="65">
        <v>3</v>
      </c>
      <c r="G278" s="25">
        <v>0.01</v>
      </c>
      <c r="H278" s="25">
        <v>16.8</v>
      </c>
      <c r="I278" s="66"/>
      <c r="J278" s="66"/>
      <c r="K278" s="66"/>
      <c r="L278" s="48">
        <v>0.024</v>
      </c>
      <c r="M278" s="68"/>
      <c r="N278" s="68"/>
    </row>
    <row r="279" spans="1:14" ht="13.5" customHeight="1">
      <c r="A279" s="417"/>
      <c r="B279" s="424"/>
      <c r="C279" s="403"/>
      <c r="D279" s="65">
        <v>2015</v>
      </c>
      <c r="E279" s="25">
        <v>2.5</v>
      </c>
      <c r="F279" s="65">
        <v>3</v>
      </c>
      <c r="G279" s="25"/>
      <c r="H279" s="25">
        <v>21</v>
      </c>
      <c r="I279" s="66"/>
      <c r="J279" s="66"/>
      <c r="K279" s="66"/>
      <c r="L279" s="48">
        <v>0.03</v>
      </c>
      <c r="M279" s="68"/>
      <c r="N279" s="68"/>
    </row>
    <row r="280" spans="1:14" ht="22.5">
      <c r="A280" s="417">
        <v>30</v>
      </c>
      <c r="B280" s="424" t="s">
        <v>384</v>
      </c>
      <c r="C280" s="403" t="s">
        <v>161</v>
      </c>
      <c r="D280" s="56" t="s">
        <v>120</v>
      </c>
      <c r="E280" s="25">
        <f>SUM(E281:E285)</f>
        <v>90</v>
      </c>
      <c r="F280" s="67">
        <v>3</v>
      </c>
      <c r="G280" s="25">
        <f>SUM(G281:G285)</f>
        <v>0.06</v>
      </c>
      <c r="H280" s="25">
        <f>SUM(H281:H285)</f>
        <v>93.1</v>
      </c>
      <c r="I280" s="66"/>
      <c r="J280" s="66"/>
      <c r="K280" s="66"/>
      <c r="L280" s="48">
        <f>SUM(L281:L285)</f>
        <v>0.133</v>
      </c>
      <c r="M280" s="68"/>
      <c r="N280" s="68"/>
    </row>
    <row r="281" spans="1:14" ht="12.75">
      <c r="A281" s="417"/>
      <c r="B281" s="424"/>
      <c r="C281" s="403"/>
      <c r="D281" s="65">
        <v>2011</v>
      </c>
      <c r="E281" s="25">
        <v>18</v>
      </c>
      <c r="F281" s="67">
        <v>3</v>
      </c>
      <c r="G281" s="25">
        <v>0.01</v>
      </c>
      <c r="H281" s="25">
        <v>6.3</v>
      </c>
      <c r="I281" s="66"/>
      <c r="J281" s="66"/>
      <c r="K281" s="66"/>
      <c r="L281" s="48">
        <v>0.009</v>
      </c>
      <c r="M281" s="68"/>
      <c r="N281" s="68"/>
    </row>
    <row r="282" spans="1:14" ht="12.75">
      <c r="A282" s="417"/>
      <c r="B282" s="424"/>
      <c r="C282" s="403"/>
      <c r="D282" s="65">
        <v>2012</v>
      </c>
      <c r="E282" s="25">
        <v>18</v>
      </c>
      <c r="F282" s="67">
        <v>3</v>
      </c>
      <c r="G282" s="25">
        <v>0.01</v>
      </c>
      <c r="H282" s="25">
        <v>12.6</v>
      </c>
      <c r="I282" s="66"/>
      <c r="J282" s="66"/>
      <c r="K282" s="66"/>
      <c r="L282" s="48">
        <v>0.018</v>
      </c>
      <c r="M282" s="68"/>
      <c r="N282" s="68"/>
    </row>
    <row r="283" spans="1:14" ht="12.75">
      <c r="A283" s="417"/>
      <c r="B283" s="424"/>
      <c r="C283" s="403"/>
      <c r="D283" s="65">
        <v>2013</v>
      </c>
      <c r="E283" s="25">
        <v>18</v>
      </c>
      <c r="F283" s="67">
        <v>3</v>
      </c>
      <c r="G283" s="25">
        <v>0.01</v>
      </c>
      <c r="H283" s="25">
        <v>18.9</v>
      </c>
      <c r="I283" s="66"/>
      <c r="J283" s="66"/>
      <c r="K283" s="66"/>
      <c r="L283" s="48">
        <v>0.027</v>
      </c>
      <c r="M283" s="68"/>
      <c r="N283" s="68"/>
    </row>
    <row r="284" spans="1:14" ht="12.75">
      <c r="A284" s="417"/>
      <c r="B284" s="424"/>
      <c r="C284" s="403"/>
      <c r="D284" s="65">
        <v>2014</v>
      </c>
      <c r="E284" s="25">
        <v>18</v>
      </c>
      <c r="F284" s="67">
        <v>3</v>
      </c>
      <c r="G284" s="25">
        <v>0.01</v>
      </c>
      <c r="H284" s="25">
        <v>24.5</v>
      </c>
      <c r="I284" s="66"/>
      <c r="J284" s="66"/>
      <c r="K284" s="66"/>
      <c r="L284" s="48">
        <v>0.035</v>
      </c>
      <c r="M284" s="68"/>
      <c r="N284" s="68"/>
    </row>
    <row r="285" spans="1:14" ht="12.75">
      <c r="A285" s="417"/>
      <c r="B285" s="424"/>
      <c r="C285" s="403"/>
      <c r="D285" s="65">
        <v>2015</v>
      </c>
      <c r="E285" s="25">
        <v>18</v>
      </c>
      <c r="F285" s="67">
        <v>3</v>
      </c>
      <c r="G285" s="25">
        <v>0.02</v>
      </c>
      <c r="H285" s="25">
        <v>30.8</v>
      </c>
      <c r="I285" s="66"/>
      <c r="J285" s="66"/>
      <c r="K285" s="66"/>
      <c r="L285" s="48">
        <v>0.044</v>
      </c>
      <c r="M285" s="68"/>
      <c r="N285" s="68"/>
    </row>
    <row r="286" spans="1:14" ht="22.5" customHeight="1">
      <c r="A286" s="411">
        <v>31</v>
      </c>
      <c r="B286" s="404" t="s">
        <v>163</v>
      </c>
      <c r="C286" s="411" t="s">
        <v>164</v>
      </c>
      <c r="D286" s="56" t="s">
        <v>120</v>
      </c>
      <c r="E286" s="48">
        <f>SUM(E287:E291)</f>
        <v>29.3</v>
      </c>
      <c r="F286" s="67">
        <v>3</v>
      </c>
      <c r="G286" s="25">
        <f>SUM(G287:G291)</f>
        <v>0.047</v>
      </c>
      <c r="H286" s="25">
        <f>SUM(H287:H291)</f>
        <v>78.855</v>
      </c>
      <c r="I286" s="48">
        <f>SUM(I287:I291)</f>
        <v>0.037</v>
      </c>
      <c r="J286" s="27"/>
      <c r="K286" s="27"/>
      <c r="L286" s="27"/>
      <c r="M286" s="27"/>
      <c r="N286" s="27"/>
    </row>
    <row r="287" spans="1:14" ht="12.75">
      <c r="A287" s="412"/>
      <c r="B287" s="405"/>
      <c r="C287" s="412"/>
      <c r="D287" s="65">
        <v>2011</v>
      </c>
      <c r="E287" s="48">
        <v>5.86</v>
      </c>
      <c r="F287" s="67">
        <v>3</v>
      </c>
      <c r="G287" s="25"/>
      <c r="H287" s="25">
        <v>5.257</v>
      </c>
      <c r="I287" s="48">
        <v>0.002</v>
      </c>
      <c r="J287" s="27"/>
      <c r="K287" s="27"/>
      <c r="L287" s="27"/>
      <c r="M287" s="27"/>
      <c r="N287" s="27"/>
    </row>
    <row r="288" spans="1:14" ht="12.75">
      <c r="A288" s="412"/>
      <c r="B288" s="405"/>
      <c r="C288" s="412"/>
      <c r="D288" s="65">
        <v>2012</v>
      </c>
      <c r="E288" s="48">
        <v>5.86</v>
      </c>
      <c r="F288" s="67">
        <v>3</v>
      </c>
      <c r="G288" s="25">
        <v>0.01</v>
      </c>
      <c r="H288" s="25">
        <v>10.514</v>
      </c>
      <c r="I288" s="48">
        <v>0.005</v>
      </c>
      <c r="J288" s="27"/>
      <c r="K288" s="27"/>
      <c r="L288" s="27"/>
      <c r="M288" s="27"/>
      <c r="N288" s="27"/>
    </row>
    <row r="289" spans="1:14" ht="12.75">
      <c r="A289" s="412"/>
      <c r="B289" s="405"/>
      <c r="C289" s="412"/>
      <c r="D289" s="65">
        <v>2013</v>
      </c>
      <c r="E289" s="48">
        <v>5.86</v>
      </c>
      <c r="F289" s="67">
        <v>3</v>
      </c>
      <c r="G289" s="25">
        <v>0.01</v>
      </c>
      <c r="H289" s="25">
        <v>15.771</v>
      </c>
      <c r="I289" s="48">
        <v>0.007</v>
      </c>
      <c r="J289" s="27"/>
      <c r="K289" s="27"/>
      <c r="L289" s="27"/>
      <c r="M289" s="27"/>
      <c r="N289" s="27"/>
    </row>
    <row r="290" spans="1:14" ht="12.75">
      <c r="A290" s="412"/>
      <c r="B290" s="398"/>
      <c r="C290" s="412"/>
      <c r="D290" s="65">
        <v>2014</v>
      </c>
      <c r="E290" s="48">
        <v>5.86</v>
      </c>
      <c r="F290" s="67">
        <v>3</v>
      </c>
      <c r="G290" s="25">
        <v>0.012</v>
      </c>
      <c r="H290" s="25">
        <v>21.028</v>
      </c>
      <c r="I290" s="48">
        <v>0.01</v>
      </c>
      <c r="J290" s="27"/>
      <c r="K290" s="27"/>
      <c r="L290" s="27"/>
      <c r="M290" s="27"/>
      <c r="N290" s="27"/>
    </row>
    <row r="291" spans="1:14" ht="12.75">
      <c r="A291" s="419"/>
      <c r="B291" s="399"/>
      <c r="C291" s="419"/>
      <c r="D291" s="65">
        <v>2015</v>
      </c>
      <c r="E291" s="48">
        <v>5.86</v>
      </c>
      <c r="F291" s="67">
        <v>3</v>
      </c>
      <c r="G291" s="25">
        <v>0.015</v>
      </c>
      <c r="H291" s="25">
        <v>26.285</v>
      </c>
      <c r="I291" s="48">
        <v>0.013</v>
      </c>
      <c r="J291" s="27"/>
      <c r="K291" s="27"/>
      <c r="L291" s="27"/>
      <c r="M291" s="27"/>
      <c r="N291" s="27"/>
    </row>
    <row r="292" spans="1:14" ht="22.5">
      <c r="A292" s="417">
        <v>32</v>
      </c>
      <c r="B292" s="424" t="s">
        <v>165</v>
      </c>
      <c r="C292" s="417" t="s">
        <v>164</v>
      </c>
      <c r="D292" s="56" t="s">
        <v>120</v>
      </c>
      <c r="E292" s="25">
        <f>SUM(E293:E297)</f>
        <v>259.30000000000007</v>
      </c>
      <c r="F292" s="65">
        <v>3</v>
      </c>
      <c r="G292" s="25">
        <f aca="true" t="shared" si="2" ref="G292:I297">SUM(G262+G268+G274+G280+G286)</f>
        <v>0.337</v>
      </c>
      <c r="H292" s="25">
        <f>SUM(H293:H297)</f>
        <v>653.155</v>
      </c>
      <c r="I292" s="48">
        <f>SUM(I293:I297)</f>
        <v>0.167</v>
      </c>
      <c r="J292" s="48"/>
      <c r="K292" s="48"/>
      <c r="L292" s="48">
        <f aca="true" t="shared" si="3" ref="L292:L297">SUM(L262+L268+L274+L280+L286)</f>
        <v>0.356</v>
      </c>
      <c r="M292" s="48"/>
      <c r="N292" s="27"/>
    </row>
    <row r="293" spans="1:14" ht="12.75">
      <c r="A293" s="417"/>
      <c r="B293" s="424"/>
      <c r="C293" s="417"/>
      <c r="D293" s="65">
        <v>2011</v>
      </c>
      <c r="E293" s="25">
        <f>SUM(E263+E269+E275+E281+E287)</f>
        <v>139.86</v>
      </c>
      <c r="F293" s="65">
        <v>3</v>
      </c>
      <c r="G293" s="25">
        <f>SUM(G263+G269+G275+G281+G287)</f>
        <v>0.04</v>
      </c>
      <c r="H293" s="25">
        <f t="shared" si="2"/>
        <v>57.157</v>
      </c>
      <c r="I293" s="48">
        <f t="shared" si="2"/>
        <v>0.016</v>
      </c>
      <c r="J293" s="48"/>
      <c r="K293" s="48"/>
      <c r="L293" s="48">
        <f t="shared" si="3"/>
        <v>0.024</v>
      </c>
      <c r="M293" s="48"/>
      <c r="N293" s="27"/>
    </row>
    <row r="294" spans="1:14" ht="12.75">
      <c r="A294" s="417"/>
      <c r="B294" s="424"/>
      <c r="C294" s="417"/>
      <c r="D294" s="65">
        <v>2012</v>
      </c>
      <c r="E294" s="25">
        <f>SUM(E264+E270+E276+E282+E288)</f>
        <v>29.86</v>
      </c>
      <c r="F294" s="65">
        <v>3</v>
      </c>
      <c r="G294" s="25">
        <f t="shared" si="2"/>
        <v>0.07</v>
      </c>
      <c r="H294" s="25">
        <f t="shared" si="2"/>
        <v>116.61399999999999</v>
      </c>
      <c r="I294" s="48">
        <f t="shared" si="2"/>
        <v>0.034</v>
      </c>
      <c r="J294" s="48"/>
      <c r="K294" s="48"/>
      <c r="L294" s="48">
        <f t="shared" si="3"/>
        <v>0.048</v>
      </c>
      <c r="M294" s="48"/>
      <c r="N294" s="27"/>
    </row>
    <row r="295" spans="1:14" ht="12.75">
      <c r="A295" s="417"/>
      <c r="B295" s="424"/>
      <c r="C295" s="417"/>
      <c r="D295" s="65">
        <v>2013</v>
      </c>
      <c r="E295" s="25">
        <f>SUM(E265+E271+E277+E283+E289)</f>
        <v>29.86</v>
      </c>
      <c r="F295" s="65">
        <v>3</v>
      </c>
      <c r="G295" s="25">
        <f t="shared" si="2"/>
        <v>0.07</v>
      </c>
      <c r="H295" s="25">
        <f t="shared" si="2"/>
        <v>138.671</v>
      </c>
      <c r="I295" s="48">
        <f t="shared" si="2"/>
        <v>0.036000000000000004</v>
      </c>
      <c r="J295" s="48"/>
      <c r="K295" s="48"/>
      <c r="L295" s="48">
        <f t="shared" si="3"/>
        <v>0.072</v>
      </c>
      <c r="M295" s="48"/>
      <c r="N295" s="27"/>
    </row>
    <row r="296" spans="1:14" ht="12.75">
      <c r="A296" s="417"/>
      <c r="B296" s="424"/>
      <c r="C296" s="417"/>
      <c r="D296" s="65">
        <v>2014</v>
      </c>
      <c r="E296" s="25">
        <f>SUM(E266+E272+E278+E284+E290)</f>
        <v>29.86</v>
      </c>
      <c r="F296" s="65">
        <v>3</v>
      </c>
      <c r="G296" s="25">
        <f t="shared" si="2"/>
        <v>0.07200000000000001</v>
      </c>
      <c r="H296" s="25">
        <f t="shared" si="2"/>
        <v>159.328</v>
      </c>
      <c r="I296" s="48">
        <f t="shared" si="2"/>
        <v>0.039</v>
      </c>
      <c r="J296" s="48"/>
      <c r="K296" s="48"/>
      <c r="L296" s="48">
        <f t="shared" si="3"/>
        <v>0.094</v>
      </c>
      <c r="M296" s="48"/>
      <c r="N296" s="27"/>
    </row>
    <row r="297" spans="1:14" ht="12.75">
      <c r="A297" s="417"/>
      <c r="B297" s="424"/>
      <c r="C297" s="417"/>
      <c r="D297" s="65">
        <v>2015</v>
      </c>
      <c r="E297" s="25">
        <f>SUM(E267+E273+E279+E285+E291)</f>
        <v>29.86</v>
      </c>
      <c r="F297" s="65">
        <v>3</v>
      </c>
      <c r="G297" s="25">
        <f t="shared" si="2"/>
        <v>0.085</v>
      </c>
      <c r="H297" s="25">
        <f t="shared" si="2"/>
        <v>181.385</v>
      </c>
      <c r="I297" s="48">
        <f t="shared" si="2"/>
        <v>0.042</v>
      </c>
      <c r="J297" s="48"/>
      <c r="K297" s="48"/>
      <c r="L297" s="48">
        <f t="shared" si="3"/>
        <v>0.118</v>
      </c>
      <c r="M297" s="48"/>
      <c r="N297" s="27"/>
    </row>
    <row r="298" spans="1:14" ht="21">
      <c r="A298" s="417"/>
      <c r="B298" s="534" t="s">
        <v>116</v>
      </c>
      <c r="C298" s="538"/>
      <c r="D298" s="54" t="s">
        <v>120</v>
      </c>
      <c r="E298" s="50">
        <f>E299+E300+E301+E302+E303</f>
        <v>783.6000000000001</v>
      </c>
      <c r="F298" s="69">
        <v>3</v>
      </c>
      <c r="G298" s="50">
        <f>G299+G300+G301+G302+G303</f>
        <v>0.9619999999999999</v>
      </c>
      <c r="H298" s="50">
        <f>H299+H300+H301+H302+H303</f>
        <v>2123.018</v>
      </c>
      <c r="I298" s="70">
        <f>I299+I300+I301+I302+I303</f>
        <v>0.44399999999999995</v>
      </c>
      <c r="J298" s="70"/>
      <c r="K298" s="70"/>
      <c r="L298" s="70">
        <f>L299+L300+L301+L302+L303</f>
        <v>0.712</v>
      </c>
      <c r="M298" s="70">
        <f>SUM(M299:M303)</f>
        <v>1.0030000000000001</v>
      </c>
      <c r="N298" s="53"/>
    </row>
    <row r="299" spans="1:14" ht="12.75">
      <c r="A299" s="417"/>
      <c r="B299" s="534"/>
      <c r="C299" s="538"/>
      <c r="D299" s="71">
        <v>2011</v>
      </c>
      <c r="E299" s="50">
        <f>E251+E257+E263+E269+E275+E281+E287+E293</f>
        <v>512.72</v>
      </c>
      <c r="F299" s="69">
        <v>3</v>
      </c>
      <c r="G299" s="52">
        <v>0.13</v>
      </c>
      <c r="H299" s="50">
        <v>215.02</v>
      </c>
      <c r="I299" s="70">
        <f>I251+I263+I287+I293</f>
        <v>0.054</v>
      </c>
      <c r="J299" s="70"/>
      <c r="K299" s="70"/>
      <c r="L299" s="70">
        <f>L269+L275+L281+L293</f>
        <v>0.048</v>
      </c>
      <c r="M299" s="70">
        <v>0.095</v>
      </c>
      <c r="N299" s="53"/>
    </row>
    <row r="300" spans="1:14" ht="12.75">
      <c r="A300" s="417"/>
      <c r="B300" s="534"/>
      <c r="C300" s="538"/>
      <c r="D300" s="71">
        <v>2012</v>
      </c>
      <c r="E300" s="50">
        <f>E252+E270+E276+E282+E288+E294</f>
        <v>67.72</v>
      </c>
      <c r="F300" s="69">
        <v>3</v>
      </c>
      <c r="G300" s="52">
        <f>SUMIF($D$250:$D$297,$D300,G$250:G$297)</f>
        <v>0.19599999999999998</v>
      </c>
      <c r="H300" s="50">
        <v>412.22</v>
      </c>
      <c r="I300" s="70">
        <f>I252+I264+I288+I294</f>
        <v>0.09</v>
      </c>
      <c r="J300" s="70"/>
      <c r="K300" s="70"/>
      <c r="L300" s="70">
        <f>L270+L276+L282+L294</f>
        <v>0.096</v>
      </c>
      <c r="M300" s="70">
        <v>0.227</v>
      </c>
      <c r="N300" s="53"/>
    </row>
    <row r="301" spans="1:14" ht="12.75">
      <c r="A301" s="417"/>
      <c r="B301" s="534"/>
      <c r="C301" s="538"/>
      <c r="D301" s="71">
        <v>2013</v>
      </c>
      <c r="E301" s="50">
        <f>E253+E271+E277+E283+E289+E295</f>
        <v>67.72</v>
      </c>
      <c r="F301" s="69">
        <v>3</v>
      </c>
      <c r="G301" s="52">
        <f>SUMIF($D$250:$D$297,$D301,G$250:G$297)</f>
        <v>0.19599999999999998</v>
      </c>
      <c r="H301" s="50">
        <f>H253+H259+H265+H271+H277+H283+H289+H295</f>
        <v>456.342</v>
      </c>
      <c r="I301" s="70">
        <f>I253+I265+I289+I295</f>
        <v>0.094</v>
      </c>
      <c r="J301" s="70"/>
      <c r="K301" s="70"/>
      <c r="L301" s="70">
        <f>L271+L277+L283+L295</f>
        <v>0.144</v>
      </c>
      <c r="M301" s="70">
        <v>0.227</v>
      </c>
      <c r="N301" s="53"/>
    </row>
    <row r="302" spans="1:14" ht="12.75">
      <c r="A302" s="417"/>
      <c r="B302" s="534"/>
      <c r="C302" s="538"/>
      <c r="D302" s="71">
        <v>2014</v>
      </c>
      <c r="E302" s="50">
        <f>E254+E272+E278+E284+E290+E296</f>
        <v>67.72</v>
      </c>
      <c r="F302" s="69">
        <v>3</v>
      </c>
      <c r="G302" s="52">
        <f>SUMIF($D$250:$D$297,$D302,G$250:G$297)</f>
        <v>0.19999999999999998</v>
      </c>
      <c r="H302" s="50">
        <f>H254+H260+H266+H272+H278+H284+H290+H296</f>
        <v>497.65600000000006</v>
      </c>
      <c r="I302" s="70">
        <f>I254+I266+I290+I296</f>
        <v>0.1</v>
      </c>
      <c r="J302" s="70"/>
      <c r="K302" s="70"/>
      <c r="L302" s="70">
        <f>L272+L278+L284+L296</f>
        <v>0.188</v>
      </c>
      <c r="M302" s="70">
        <v>0.227</v>
      </c>
      <c r="N302" s="53"/>
    </row>
    <row r="303" spans="1:14" ht="12.75">
      <c r="A303" s="417"/>
      <c r="B303" s="534"/>
      <c r="C303" s="538"/>
      <c r="D303" s="71">
        <v>2015</v>
      </c>
      <c r="E303" s="50">
        <f>E255+E273+E279+E285+E291+E297</f>
        <v>67.72</v>
      </c>
      <c r="F303" s="69">
        <v>3</v>
      </c>
      <c r="G303" s="52">
        <v>0.24</v>
      </c>
      <c r="H303" s="50">
        <v>541.78</v>
      </c>
      <c r="I303" s="70">
        <f>I255+I267+I291+I297</f>
        <v>0.10600000000000001</v>
      </c>
      <c r="J303" s="70"/>
      <c r="K303" s="70"/>
      <c r="L303" s="70">
        <f>L273+L279+L285+L297</f>
        <v>0.236</v>
      </c>
      <c r="M303" s="70">
        <v>0.227</v>
      </c>
      <c r="N303" s="53"/>
    </row>
    <row r="304" spans="1:14" ht="12.75" customHeight="1">
      <c r="A304" s="285" t="s">
        <v>166</v>
      </c>
      <c r="B304" s="285"/>
      <c r="C304" s="285"/>
      <c r="D304" s="285"/>
      <c r="E304" s="285"/>
      <c r="F304" s="285"/>
      <c r="G304" s="285"/>
      <c r="H304" s="285"/>
      <c r="I304" s="285"/>
      <c r="J304" s="285"/>
      <c r="K304" s="285"/>
      <c r="L304" s="285"/>
      <c r="M304" s="285"/>
      <c r="N304" s="285"/>
    </row>
    <row r="305" spans="1:14" ht="23.25" customHeight="1">
      <c r="A305" s="41">
        <v>33</v>
      </c>
      <c r="B305" s="45" t="s">
        <v>385</v>
      </c>
      <c r="C305" s="24" t="s">
        <v>290</v>
      </c>
      <c r="D305" s="56">
        <v>2013</v>
      </c>
      <c r="E305" s="25">
        <v>960000</v>
      </c>
      <c r="F305" s="26">
        <v>3</v>
      </c>
      <c r="G305" s="25">
        <v>12</v>
      </c>
      <c r="H305" s="25"/>
      <c r="I305" s="48">
        <v>7.825</v>
      </c>
      <c r="J305" s="48"/>
      <c r="K305" s="48"/>
      <c r="L305" s="48"/>
      <c r="M305" s="48"/>
      <c r="N305" s="48">
        <v>2.946</v>
      </c>
    </row>
    <row r="306" spans="1:14" ht="21" customHeight="1">
      <c r="A306" s="417">
        <v>34</v>
      </c>
      <c r="B306" s="284" t="s">
        <v>358</v>
      </c>
      <c r="C306" s="403" t="s">
        <v>167</v>
      </c>
      <c r="D306" s="24" t="s">
        <v>146</v>
      </c>
      <c r="E306" s="25">
        <f>SUM(E307:E309)</f>
        <v>200</v>
      </c>
      <c r="F306" s="26">
        <v>3</v>
      </c>
      <c r="G306" s="25">
        <f>G308+G309</f>
        <v>0.88</v>
      </c>
      <c r="H306" s="25">
        <f>H308+H309</f>
        <v>1539.8</v>
      </c>
      <c r="I306" s="48">
        <f>SUM(I307:I309)</f>
        <v>0.756</v>
      </c>
      <c r="J306" s="48"/>
      <c r="K306" s="48"/>
      <c r="L306" s="48"/>
      <c r="M306" s="48"/>
      <c r="N306" s="48"/>
    </row>
    <row r="307" spans="1:14" ht="11.25" customHeight="1">
      <c r="A307" s="417"/>
      <c r="B307" s="284"/>
      <c r="C307" s="403"/>
      <c r="D307" s="24">
        <v>2013</v>
      </c>
      <c r="E307" s="25">
        <v>200</v>
      </c>
      <c r="F307" s="26">
        <v>3</v>
      </c>
      <c r="G307" s="73"/>
      <c r="H307" s="73"/>
      <c r="I307" s="73"/>
      <c r="J307" s="48"/>
      <c r="K307" s="48"/>
      <c r="L307" s="48"/>
      <c r="M307" s="48"/>
      <c r="N307" s="48"/>
    </row>
    <row r="308" spans="1:14" ht="11.25" customHeight="1">
      <c r="A308" s="417"/>
      <c r="B308" s="284"/>
      <c r="C308" s="403"/>
      <c r="D308" s="24">
        <v>2014</v>
      </c>
      <c r="E308" s="25"/>
      <c r="F308" s="26"/>
      <c r="G308" s="25">
        <v>0.44</v>
      </c>
      <c r="H308" s="25">
        <v>769.9</v>
      </c>
      <c r="I308" s="48">
        <v>0.378</v>
      </c>
      <c r="J308" s="48"/>
      <c r="K308" s="48"/>
      <c r="L308" s="48"/>
      <c r="M308" s="48"/>
      <c r="N308" s="48"/>
    </row>
    <row r="309" spans="1:14" ht="12.75" customHeight="1">
      <c r="A309" s="417"/>
      <c r="B309" s="284"/>
      <c r="C309" s="403"/>
      <c r="D309" s="24">
        <v>2015</v>
      </c>
      <c r="E309" s="25"/>
      <c r="F309" s="26"/>
      <c r="G309" s="25">
        <v>0.44</v>
      </c>
      <c r="H309" s="25">
        <v>769.9</v>
      </c>
      <c r="I309" s="48">
        <v>0.378</v>
      </c>
      <c r="J309" s="48"/>
      <c r="K309" s="48"/>
      <c r="L309" s="48"/>
      <c r="M309" s="48"/>
      <c r="N309" s="48"/>
    </row>
    <row r="310" spans="1:14" ht="21.75" customHeight="1">
      <c r="A310" s="417">
        <v>35</v>
      </c>
      <c r="B310" s="439" t="s">
        <v>168</v>
      </c>
      <c r="C310" s="403" t="s">
        <v>167</v>
      </c>
      <c r="D310" s="24" t="s">
        <v>450</v>
      </c>
      <c r="E310" s="25"/>
      <c r="F310" s="26"/>
      <c r="G310" s="25">
        <f>SUM(G311:G315)</f>
        <v>0.16</v>
      </c>
      <c r="H310" s="25">
        <f>SUM(H311:H315)</f>
        <v>268.2</v>
      </c>
      <c r="I310" s="48">
        <f>SUM(I311:I315)</f>
        <v>0.13</v>
      </c>
      <c r="J310" s="48"/>
      <c r="K310" s="48"/>
      <c r="L310" s="48"/>
      <c r="M310" s="48"/>
      <c r="N310" s="48"/>
    </row>
    <row r="311" spans="1:14" ht="15" customHeight="1">
      <c r="A311" s="417"/>
      <c r="B311" s="439"/>
      <c r="C311" s="403"/>
      <c r="D311" s="24">
        <v>2011</v>
      </c>
      <c r="E311" s="25"/>
      <c r="F311" s="26"/>
      <c r="G311" s="25">
        <v>0.02</v>
      </c>
      <c r="H311" s="25">
        <v>33.3</v>
      </c>
      <c r="I311" s="48">
        <v>0.015</v>
      </c>
      <c r="J311" s="48"/>
      <c r="K311" s="48"/>
      <c r="L311" s="48"/>
      <c r="M311" s="48"/>
      <c r="N311" s="48"/>
    </row>
    <row r="312" spans="1:14" ht="12.75" customHeight="1">
      <c r="A312" s="417"/>
      <c r="B312" s="439"/>
      <c r="C312" s="403"/>
      <c r="D312" s="24">
        <v>2012</v>
      </c>
      <c r="E312" s="25"/>
      <c r="F312" s="26"/>
      <c r="G312" s="25">
        <v>0.02</v>
      </c>
      <c r="H312" s="25">
        <v>39.3</v>
      </c>
      <c r="I312" s="48">
        <v>0.019</v>
      </c>
      <c r="J312" s="48"/>
      <c r="K312" s="48"/>
      <c r="L312" s="48"/>
      <c r="M312" s="48"/>
      <c r="N312" s="48"/>
    </row>
    <row r="313" spans="1:14" ht="12.75" customHeight="1">
      <c r="A313" s="417"/>
      <c r="B313" s="439"/>
      <c r="C313" s="403"/>
      <c r="D313" s="24">
        <v>2013</v>
      </c>
      <c r="E313" s="25"/>
      <c r="F313" s="26"/>
      <c r="G313" s="25">
        <v>0.04</v>
      </c>
      <c r="H313" s="25">
        <v>65.2</v>
      </c>
      <c r="I313" s="48">
        <v>0.032</v>
      </c>
      <c r="J313" s="48"/>
      <c r="K313" s="48"/>
      <c r="L313" s="48"/>
      <c r="M313" s="48"/>
      <c r="N313" s="48"/>
    </row>
    <row r="314" spans="1:14" ht="12.75" customHeight="1">
      <c r="A314" s="417"/>
      <c r="B314" s="465"/>
      <c r="C314" s="403"/>
      <c r="D314" s="24">
        <v>2014</v>
      </c>
      <c r="E314" s="25"/>
      <c r="F314" s="26"/>
      <c r="G314" s="25">
        <v>0.04</v>
      </c>
      <c r="H314" s="25">
        <v>65.2</v>
      </c>
      <c r="I314" s="48">
        <v>0.032</v>
      </c>
      <c r="J314" s="48"/>
      <c r="K314" s="48"/>
      <c r="L314" s="48"/>
      <c r="M314" s="48"/>
      <c r="N314" s="48"/>
    </row>
    <row r="315" spans="1:14" ht="12.75" customHeight="1">
      <c r="A315" s="417"/>
      <c r="B315" s="465"/>
      <c r="C315" s="403"/>
      <c r="D315" s="24">
        <v>2015</v>
      </c>
      <c r="E315" s="25"/>
      <c r="F315" s="26"/>
      <c r="G315" s="25">
        <v>0.04</v>
      </c>
      <c r="H315" s="25">
        <v>65.2</v>
      </c>
      <c r="I315" s="48">
        <v>0.032</v>
      </c>
      <c r="J315" s="48"/>
      <c r="K315" s="48"/>
      <c r="L315" s="48"/>
      <c r="M315" s="48"/>
      <c r="N315" s="48"/>
    </row>
    <row r="316" spans="1:14" ht="21" customHeight="1">
      <c r="A316" s="417">
        <v>36</v>
      </c>
      <c r="B316" s="439" t="s">
        <v>359</v>
      </c>
      <c r="C316" s="403" t="s">
        <v>167</v>
      </c>
      <c r="D316" s="24" t="s">
        <v>450</v>
      </c>
      <c r="E316" s="25"/>
      <c r="F316" s="26"/>
      <c r="G316" s="25">
        <f>SUM(G317:G321)</f>
        <v>3.05</v>
      </c>
      <c r="H316" s="25">
        <f>SUM(H317:H321)</f>
        <v>5353.5</v>
      </c>
      <c r="I316" s="48">
        <f>SUM(I317:I321)</f>
        <v>2.63</v>
      </c>
      <c r="J316" s="48"/>
      <c r="K316" s="48"/>
      <c r="L316" s="48"/>
      <c r="M316" s="48"/>
      <c r="N316" s="48"/>
    </row>
    <row r="317" spans="1:14" ht="12.75" customHeight="1">
      <c r="A317" s="417"/>
      <c r="B317" s="439"/>
      <c r="C317" s="403"/>
      <c r="D317" s="24">
        <v>2011</v>
      </c>
      <c r="E317" s="25"/>
      <c r="F317" s="26"/>
      <c r="G317" s="25">
        <v>0.61</v>
      </c>
      <c r="H317" s="25">
        <v>1070.7</v>
      </c>
      <c r="I317" s="48">
        <v>0.526</v>
      </c>
      <c r="J317" s="48"/>
      <c r="K317" s="48"/>
      <c r="L317" s="48"/>
      <c r="M317" s="48"/>
      <c r="N317" s="48"/>
    </row>
    <row r="318" spans="1:14" ht="12.75" customHeight="1">
      <c r="A318" s="417"/>
      <c r="B318" s="439"/>
      <c r="C318" s="403"/>
      <c r="D318" s="24">
        <v>2012</v>
      </c>
      <c r="E318" s="25"/>
      <c r="F318" s="26"/>
      <c r="G318" s="25">
        <v>0.61</v>
      </c>
      <c r="H318" s="25">
        <v>1070.7</v>
      </c>
      <c r="I318" s="48">
        <v>0.526</v>
      </c>
      <c r="J318" s="48"/>
      <c r="K318" s="48"/>
      <c r="L318" s="48"/>
      <c r="M318" s="48"/>
      <c r="N318" s="48"/>
    </row>
    <row r="319" spans="1:14" ht="12.75" customHeight="1">
      <c r="A319" s="417"/>
      <c r="B319" s="439"/>
      <c r="C319" s="403"/>
      <c r="D319" s="24">
        <v>2013</v>
      </c>
      <c r="E319" s="25"/>
      <c r="F319" s="26"/>
      <c r="G319" s="25">
        <v>0.61</v>
      </c>
      <c r="H319" s="25">
        <v>1070.7</v>
      </c>
      <c r="I319" s="48">
        <v>0.526</v>
      </c>
      <c r="J319" s="48"/>
      <c r="K319" s="48"/>
      <c r="L319" s="48"/>
      <c r="M319" s="48"/>
      <c r="N319" s="48"/>
    </row>
    <row r="320" spans="1:14" ht="12" customHeight="1">
      <c r="A320" s="417"/>
      <c r="B320" s="439"/>
      <c r="C320" s="351"/>
      <c r="D320" s="24">
        <v>2014</v>
      </c>
      <c r="E320" s="25"/>
      <c r="F320" s="26"/>
      <c r="G320" s="25">
        <v>0.61</v>
      </c>
      <c r="H320" s="25">
        <v>1070.7</v>
      </c>
      <c r="I320" s="48">
        <v>0.526</v>
      </c>
      <c r="J320" s="48"/>
      <c r="K320" s="48"/>
      <c r="L320" s="48"/>
      <c r="M320" s="48"/>
      <c r="N320" s="48"/>
    </row>
    <row r="321" spans="1:14" ht="12" customHeight="1">
      <c r="A321" s="417"/>
      <c r="B321" s="439"/>
      <c r="C321" s="351"/>
      <c r="D321" s="24">
        <v>2015</v>
      </c>
      <c r="E321" s="25"/>
      <c r="F321" s="26"/>
      <c r="G321" s="25">
        <v>0.61</v>
      </c>
      <c r="H321" s="25">
        <v>1070.7</v>
      </c>
      <c r="I321" s="48">
        <v>0.526</v>
      </c>
      <c r="J321" s="48"/>
      <c r="K321" s="48"/>
      <c r="L321" s="48"/>
      <c r="M321" s="48"/>
      <c r="N321" s="48"/>
    </row>
    <row r="322" spans="1:14" ht="22.5" customHeight="1">
      <c r="A322" s="411">
        <v>37</v>
      </c>
      <c r="B322" s="439" t="s">
        <v>43</v>
      </c>
      <c r="C322" s="403" t="s">
        <v>35</v>
      </c>
      <c r="D322" s="24" t="s">
        <v>29</v>
      </c>
      <c r="E322" s="25">
        <f>SUM(E323:E325)</f>
        <v>4582.6</v>
      </c>
      <c r="F322" s="26">
        <v>3</v>
      </c>
      <c r="G322" s="25">
        <v>3.14</v>
      </c>
      <c r="H322" s="25">
        <f>SUM(H323:H325)</f>
        <v>12222.880000000001</v>
      </c>
      <c r="I322" s="48">
        <f>SUM(I323:I325)</f>
        <v>2.74</v>
      </c>
      <c r="J322" s="48"/>
      <c r="K322" s="48"/>
      <c r="L322" s="48"/>
      <c r="M322" s="48"/>
      <c r="N322" s="48"/>
    </row>
    <row r="323" spans="1:14" ht="12" customHeight="1">
      <c r="A323" s="412"/>
      <c r="B323" s="439"/>
      <c r="C323" s="403"/>
      <c r="D323" s="24">
        <v>2013</v>
      </c>
      <c r="E323" s="25">
        <v>3131.6</v>
      </c>
      <c r="F323" s="26">
        <v>3</v>
      </c>
      <c r="G323" s="25"/>
      <c r="H323" s="25"/>
      <c r="I323" s="48"/>
      <c r="J323" s="48"/>
      <c r="K323" s="48"/>
      <c r="L323" s="48"/>
      <c r="M323" s="48"/>
      <c r="N323" s="48"/>
    </row>
    <row r="324" spans="1:14" ht="12" customHeight="1">
      <c r="A324" s="412"/>
      <c r="B324" s="439"/>
      <c r="C324" s="403"/>
      <c r="D324" s="24">
        <v>2014</v>
      </c>
      <c r="E324" s="25">
        <v>1451</v>
      </c>
      <c r="F324" s="26">
        <v>3</v>
      </c>
      <c r="G324" s="25">
        <f>I324*1.149</f>
        <v>1.5741300000000003</v>
      </c>
      <c r="H324" s="25">
        <v>6003.74</v>
      </c>
      <c r="I324" s="48">
        <v>1.37</v>
      </c>
      <c r="J324" s="48"/>
      <c r="K324" s="48"/>
      <c r="L324" s="48"/>
      <c r="M324" s="48"/>
      <c r="N324" s="48"/>
    </row>
    <row r="325" spans="1:14" ht="24" customHeight="1">
      <c r="A325" s="419"/>
      <c r="B325" s="439"/>
      <c r="C325" s="403"/>
      <c r="D325" s="24">
        <v>2015</v>
      </c>
      <c r="E325" s="25"/>
      <c r="F325" s="26"/>
      <c r="G325" s="25">
        <f>I325*1.149</f>
        <v>1.5741300000000003</v>
      </c>
      <c r="H325" s="25">
        <v>6219.14</v>
      </c>
      <c r="I325" s="48">
        <v>1.37</v>
      </c>
      <c r="J325" s="48"/>
      <c r="K325" s="48"/>
      <c r="L325" s="48"/>
      <c r="M325" s="48"/>
      <c r="N325" s="48"/>
    </row>
    <row r="326" spans="1:14" ht="13.5" customHeight="1">
      <c r="A326" s="417">
        <v>38</v>
      </c>
      <c r="B326" s="439" t="s">
        <v>371</v>
      </c>
      <c r="C326" s="403" t="s">
        <v>35</v>
      </c>
      <c r="D326" s="373" t="s">
        <v>448</v>
      </c>
      <c r="E326" s="25">
        <f>E330+E331+E332</f>
        <v>3290183.45</v>
      </c>
      <c r="F326" s="26">
        <v>3</v>
      </c>
      <c r="G326" s="659">
        <f>SUM(G329:G332)</f>
        <v>123.931</v>
      </c>
      <c r="H326" s="659">
        <f>SUM(H329:H332)</f>
        <v>455897.59</v>
      </c>
      <c r="I326" s="664"/>
      <c r="J326" s="664"/>
      <c r="K326" s="664"/>
      <c r="L326" s="664"/>
      <c r="M326" s="664"/>
      <c r="N326" s="659">
        <f>SUM(N329:N332)</f>
        <v>123.931</v>
      </c>
    </row>
    <row r="327" spans="1:14" ht="12" customHeight="1">
      <c r="A327" s="417"/>
      <c r="B327" s="439"/>
      <c r="C327" s="403"/>
      <c r="D327" s="348"/>
      <c r="E327" s="25">
        <f>E329</f>
        <v>959850</v>
      </c>
      <c r="F327" s="26">
        <v>4</v>
      </c>
      <c r="G327" s="660"/>
      <c r="H327" s="660"/>
      <c r="I327" s="665"/>
      <c r="J327" s="665"/>
      <c r="K327" s="665"/>
      <c r="L327" s="665"/>
      <c r="M327" s="665"/>
      <c r="N327" s="660"/>
    </row>
    <row r="328" spans="1:14" ht="12" customHeight="1">
      <c r="A328" s="417"/>
      <c r="B328" s="439"/>
      <c r="C328" s="403"/>
      <c r="D328" s="349"/>
      <c r="E328" s="25">
        <f>E326+E327</f>
        <v>4250033.45</v>
      </c>
      <c r="F328" s="26">
        <v>5</v>
      </c>
      <c r="G328" s="661"/>
      <c r="H328" s="661"/>
      <c r="I328" s="666"/>
      <c r="J328" s="666"/>
      <c r="K328" s="666"/>
      <c r="L328" s="666"/>
      <c r="M328" s="666"/>
      <c r="N328" s="661"/>
    </row>
    <row r="329" spans="1:14" ht="11.25" customHeight="1">
      <c r="A329" s="417"/>
      <c r="B329" s="439"/>
      <c r="C329" s="403"/>
      <c r="D329" s="24">
        <v>2012</v>
      </c>
      <c r="E329" s="25">
        <v>959850</v>
      </c>
      <c r="F329" s="26">
        <v>4</v>
      </c>
      <c r="G329" s="25">
        <v>10.13</v>
      </c>
      <c r="H329" s="25">
        <v>4185</v>
      </c>
      <c r="I329" s="48"/>
      <c r="J329" s="48"/>
      <c r="K329" s="48"/>
      <c r="L329" s="48"/>
      <c r="M329" s="48"/>
      <c r="N329" s="25">
        <v>10.13</v>
      </c>
    </row>
    <row r="330" spans="1:14" ht="12" customHeight="1">
      <c r="A330" s="417"/>
      <c r="B330" s="439"/>
      <c r="C330" s="403"/>
      <c r="D330" s="24">
        <v>2013</v>
      </c>
      <c r="E330" s="25">
        <v>1031078.4</v>
      </c>
      <c r="F330" s="26">
        <v>3</v>
      </c>
      <c r="G330" s="25"/>
      <c r="H330" s="25"/>
      <c r="I330" s="48"/>
      <c r="J330" s="48"/>
      <c r="K330" s="48"/>
      <c r="L330" s="48"/>
      <c r="M330" s="48"/>
      <c r="N330" s="25"/>
    </row>
    <row r="331" spans="1:14" ht="12.75" customHeight="1">
      <c r="A331" s="417"/>
      <c r="B331" s="439"/>
      <c r="C331" s="403"/>
      <c r="D331" s="24">
        <v>2014</v>
      </c>
      <c r="E331" s="25">
        <v>1100589.25</v>
      </c>
      <c r="F331" s="26">
        <v>3</v>
      </c>
      <c r="G331" s="25"/>
      <c r="H331" s="25"/>
      <c r="I331" s="48"/>
      <c r="J331" s="48"/>
      <c r="K331" s="48"/>
      <c r="L331" s="48"/>
      <c r="M331" s="48"/>
      <c r="N331" s="25"/>
    </row>
    <row r="332" spans="1:14" ht="12.75" customHeight="1">
      <c r="A332" s="417"/>
      <c r="B332" s="439"/>
      <c r="C332" s="403"/>
      <c r="D332" s="24">
        <v>2015</v>
      </c>
      <c r="E332" s="25">
        <v>1158515.8</v>
      </c>
      <c r="F332" s="26">
        <v>3</v>
      </c>
      <c r="G332" s="25">
        <f>N332</f>
        <v>113.801</v>
      </c>
      <c r="H332" s="25">
        <v>451712.59</v>
      </c>
      <c r="I332" s="48"/>
      <c r="J332" s="48"/>
      <c r="K332" s="48"/>
      <c r="L332" s="48"/>
      <c r="M332" s="48"/>
      <c r="N332" s="25">
        <v>113.801</v>
      </c>
    </row>
    <row r="333" spans="1:14" ht="12" customHeight="1">
      <c r="A333" s="411">
        <v>39</v>
      </c>
      <c r="B333" s="422" t="s">
        <v>370</v>
      </c>
      <c r="C333" s="373" t="s">
        <v>35</v>
      </c>
      <c r="D333" s="373" t="s">
        <v>450</v>
      </c>
      <c r="E333" s="25">
        <f>E338+E339</f>
        <v>676545.8</v>
      </c>
      <c r="F333" s="26">
        <v>3</v>
      </c>
      <c r="G333" s="659">
        <f>SUM(G336:G340)</f>
        <v>773.5947</v>
      </c>
      <c r="H333" s="659">
        <f>SUM(H336:H340)</f>
        <v>2654704.12</v>
      </c>
      <c r="I333" s="664">
        <f>SUM(I337:I340)</f>
        <v>335.3</v>
      </c>
      <c r="J333" s="664"/>
      <c r="K333" s="664"/>
      <c r="L333" s="664"/>
      <c r="M333" s="664"/>
      <c r="N333" s="664">
        <f>SUM(N336:N340)</f>
        <v>322.839</v>
      </c>
    </row>
    <row r="334" spans="1:14" ht="12.75" customHeight="1">
      <c r="A334" s="412"/>
      <c r="B334" s="423"/>
      <c r="C334" s="348"/>
      <c r="D334" s="348"/>
      <c r="E334" s="25">
        <f>E336+E337</f>
        <v>1185600</v>
      </c>
      <c r="F334" s="26">
        <v>4</v>
      </c>
      <c r="G334" s="660"/>
      <c r="H334" s="660"/>
      <c r="I334" s="665"/>
      <c r="J334" s="665"/>
      <c r="K334" s="665"/>
      <c r="L334" s="665"/>
      <c r="M334" s="665"/>
      <c r="N334" s="665"/>
    </row>
    <row r="335" spans="1:14" ht="12.75" customHeight="1">
      <c r="A335" s="412"/>
      <c r="B335" s="423"/>
      <c r="C335" s="348"/>
      <c r="D335" s="349"/>
      <c r="E335" s="25">
        <f>E333+E334</f>
        <v>1862145.8</v>
      </c>
      <c r="F335" s="26">
        <v>5</v>
      </c>
      <c r="G335" s="661"/>
      <c r="H335" s="661"/>
      <c r="I335" s="666"/>
      <c r="J335" s="666"/>
      <c r="K335" s="666"/>
      <c r="L335" s="666"/>
      <c r="M335" s="666"/>
      <c r="N335" s="666"/>
    </row>
    <row r="336" spans="1:14" ht="12" customHeight="1">
      <c r="A336" s="412"/>
      <c r="B336" s="423"/>
      <c r="C336" s="348"/>
      <c r="D336" s="24">
        <v>2011</v>
      </c>
      <c r="E336" s="25">
        <v>592800</v>
      </c>
      <c r="F336" s="26">
        <v>4</v>
      </c>
      <c r="G336" s="25">
        <v>104.52</v>
      </c>
      <c r="H336" s="25">
        <v>208755.37</v>
      </c>
      <c r="I336" s="48">
        <v>56</v>
      </c>
      <c r="J336" s="48"/>
      <c r="K336" s="48"/>
      <c r="L336" s="48"/>
      <c r="M336" s="48"/>
      <c r="N336" s="48">
        <v>39.6</v>
      </c>
    </row>
    <row r="337" spans="1:14" ht="12.75" customHeight="1">
      <c r="A337" s="412"/>
      <c r="B337" s="423"/>
      <c r="C337" s="348"/>
      <c r="D337" s="24">
        <v>2012</v>
      </c>
      <c r="E337" s="25">
        <v>592800</v>
      </c>
      <c r="F337" s="26">
        <v>4</v>
      </c>
      <c r="G337" s="25">
        <v>104.52</v>
      </c>
      <c r="H337" s="25">
        <v>208755.37</v>
      </c>
      <c r="I337" s="48">
        <v>56</v>
      </c>
      <c r="J337" s="48"/>
      <c r="K337" s="48"/>
      <c r="L337" s="48"/>
      <c r="M337" s="48"/>
      <c r="N337" s="48">
        <v>39.6</v>
      </c>
    </row>
    <row r="338" spans="1:14" ht="12.75" customHeight="1">
      <c r="A338" s="412"/>
      <c r="B338" s="423"/>
      <c r="C338" s="348"/>
      <c r="D338" s="24">
        <v>2013</v>
      </c>
      <c r="E338" s="25">
        <v>637160.8</v>
      </c>
      <c r="F338" s="26">
        <v>3</v>
      </c>
      <c r="G338" s="25"/>
      <c r="H338" s="25"/>
      <c r="I338" s="48"/>
      <c r="J338" s="48"/>
      <c r="K338" s="48"/>
      <c r="L338" s="48"/>
      <c r="M338" s="48"/>
      <c r="N338" s="48"/>
    </row>
    <row r="339" spans="1:14" ht="12.75" customHeight="1">
      <c r="A339" s="394"/>
      <c r="B339" s="398"/>
      <c r="C339" s="408"/>
      <c r="D339" s="24">
        <v>2014</v>
      </c>
      <c r="E339" s="25">
        <v>39385</v>
      </c>
      <c r="F339" s="26">
        <v>3</v>
      </c>
      <c r="G339" s="25"/>
      <c r="H339" s="25"/>
      <c r="I339" s="48"/>
      <c r="J339" s="48"/>
      <c r="K339" s="48"/>
      <c r="L339" s="48"/>
      <c r="M339" s="48"/>
      <c r="N339" s="48"/>
    </row>
    <row r="340" spans="1:14" ht="12.75" customHeight="1">
      <c r="A340" s="413"/>
      <c r="B340" s="399"/>
      <c r="C340" s="409"/>
      <c r="D340" s="24">
        <v>2015</v>
      </c>
      <c r="E340" s="25"/>
      <c r="F340" s="26"/>
      <c r="G340" s="25">
        <f>I340*1.149+N340</f>
        <v>564.5547</v>
      </c>
      <c r="H340" s="25">
        <v>2237193.38</v>
      </c>
      <c r="I340" s="48">
        <v>279.3</v>
      </c>
      <c r="J340" s="48"/>
      <c r="K340" s="48"/>
      <c r="L340" s="48"/>
      <c r="M340" s="48"/>
      <c r="N340" s="48">
        <v>243.639</v>
      </c>
    </row>
    <row r="341" spans="1:14" ht="11.25" customHeight="1">
      <c r="A341" s="444" t="s">
        <v>326</v>
      </c>
      <c r="B341" s="422" t="s">
        <v>41</v>
      </c>
      <c r="C341" s="403" t="s">
        <v>35</v>
      </c>
      <c r="D341" s="373" t="s">
        <v>444</v>
      </c>
      <c r="E341" s="25">
        <f>E346+E347</f>
        <v>14616.3</v>
      </c>
      <c r="F341" s="26">
        <v>3</v>
      </c>
      <c r="G341" s="659">
        <f>G344+G347+G348</f>
        <v>10.33771</v>
      </c>
      <c r="H341" s="659">
        <f>H344+H347+H348</f>
        <v>27246.75</v>
      </c>
      <c r="I341" s="664">
        <f>I344+I347+I348</f>
        <v>2.6399999999999997</v>
      </c>
      <c r="J341" s="664"/>
      <c r="K341" s="664"/>
      <c r="L341" s="664">
        <f>L344+L347+L348</f>
        <v>20.790000000000003</v>
      </c>
      <c r="M341" s="664"/>
      <c r="N341" s="664"/>
    </row>
    <row r="342" spans="1:14" ht="12" customHeight="1">
      <c r="A342" s="445"/>
      <c r="B342" s="423"/>
      <c r="C342" s="403"/>
      <c r="D342" s="348"/>
      <c r="E342" s="25">
        <f>E344</f>
        <v>6583.33</v>
      </c>
      <c r="F342" s="26">
        <v>4</v>
      </c>
      <c r="G342" s="660"/>
      <c r="H342" s="660"/>
      <c r="I342" s="665"/>
      <c r="J342" s="665"/>
      <c r="K342" s="665"/>
      <c r="L342" s="665"/>
      <c r="M342" s="665"/>
      <c r="N342" s="665"/>
    </row>
    <row r="343" spans="1:14" ht="12.75" customHeight="1">
      <c r="A343" s="445"/>
      <c r="B343" s="423"/>
      <c r="C343" s="403"/>
      <c r="D343" s="349"/>
      <c r="E343" s="25">
        <f>E341+E342</f>
        <v>21199.629999999997</v>
      </c>
      <c r="F343" s="26">
        <v>5</v>
      </c>
      <c r="G343" s="661"/>
      <c r="H343" s="661"/>
      <c r="I343" s="666"/>
      <c r="J343" s="666"/>
      <c r="K343" s="666"/>
      <c r="L343" s="666"/>
      <c r="M343" s="666"/>
      <c r="N343" s="666"/>
    </row>
    <row r="344" spans="1:14" ht="12" customHeight="1">
      <c r="A344" s="445"/>
      <c r="B344" s="423"/>
      <c r="C344" s="403"/>
      <c r="D344" s="24">
        <v>2011</v>
      </c>
      <c r="E344" s="25">
        <v>6583.33</v>
      </c>
      <c r="F344" s="26">
        <v>4</v>
      </c>
      <c r="G344" s="25">
        <v>7.7</v>
      </c>
      <c r="H344" s="25">
        <v>9859.45</v>
      </c>
      <c r="I344" s="48">
        <v>0.35</v>
      </c>
      <c r="J344" s="48"/>
      <c r="K344" s="48"/>
      <c r="L344" s="48">
        <v>20.77</v>
      </c>
      <c r="M344" s="48"/>
      <c r="N344" s="48"/>
    </row>
    <row r="345" spans="1:14" ht="12" customHeight="1">
      <c r="A345" s="445"/>
      <c r="B345" s="423"/>
      <c r="C345" s="403"/>
      <c r="D345" s="24">
        <v>2012</v>
      </c>
      <c r="E345" s="25"/>
      <c r="F345" s="26"/>
      <c r="G345" s="25">
        <v>7.7</v>
      </c>
      <c r="H345" s="25">
        <v>9859.45</v>
      </c>
      <c r="I345" s="48">
        <v>0.35</v>
      </c>
      <c r="J345" s="48"/>
      <c r="K345" s="48"/>
      <c r="L345" s="48">
        <v>20.77</v>
      </c>
      <c r="M345" s="48"/>
      <c r="N345" s="48"/>
    </row>
    <row r="346" spans="1:14" ht="12.75" customHeight="1">
      <c r="A346" s="445"/>
      <c r="B346" s="423"/>
      <c r="C346" s="403"/>
      <c r="D346" s="24">
        <v>2013</v>
      </c>
      <c r="E346" s="25">
        <v>7011.4</v>
      </c>
      <c r="F346" s="26">
        <v>3</v>
      </c>
      <c r="G346" s="25"/>
      <c r="H346" s="25"/>
      <c r="I346" s="48"/>
      <c r="J346" s="48"/>
      <c r="K346" s="48"/>
      <c r="L346" s="48"/>
      <c r="M346" s="48"/>
      <c r="N346" s="48"/>
    </row>
    <row r="347" spans="1:14" ht="12.75" customHeight="1">
      <c r="A347" s="445"/>
      <c r="B347" s="423"/>
      <c r="C347" s="403"/>
      <c r="D347" s="24">
        <v>2014</v>
      </c>
      <c r="E347" s="25">
        <v>7604.9</v>
      </c>
      <c r="F347" s="26">
        <v>3</v>
      </c>
      <c r="G347" s="25">
        <f>I347*1.149+L347*0.325</f>
        <v>1.6003599999999998</v>
      </c>
      <c r="H347" s="25">
        <v>9670.94</v>
      </c>
      <c r="I347" s="48">
        <v>1.39</v>
      </c>
      <c r="J347" s="48"/>
      <c r="K347" s="48"/>
      <c r="L347" s="48">
        <v>0.01</v>
      </c>
      <c r="M347" s="48"/>
      <c r="N347" s="48"/>
    </row>
    <row r="348" spans="1:14" ht="12.75" customHeight="1">
      <c r="A348" s="451"/>
      <c r="B348" s="671"/>
      <c r="C348" s="403"/>
      <c r="D348" s="24">
        <v>2015</v>
      </c>
      <c r="E348" s="25"/>
      <c r="F348" s="26"/>
      <c r="G348" s="25">
        <f>I348*1.149+L348*0.325</f>
        <v>1.03735</v>
      </c>
      <c r="H348" s="25">
        <v>7716.36</v>
      </c>
      <c r="I348" s="48">
        <v>0.9</v>
      </c>
      <c r="J348" s="48"/>
      <c r="K348" s="48"/>
      <c r="L348" s="48">
        <v>0.01</v>
      </c>
      <c r="M348" s="48"/>
      <c r="N348" s="48"/>
    </row>
    <row r="349" spans="1:14" ht="12.75" customHeight="1">
      <c r="A349" s="444" t="s">
        <v>327</v>
      </c>
      <c r="B349" s="422" t="s">
        <v>42</v>
      </c>
      <c r="C349" s="403" t="s">
        <v>35</v>
      </c>
      <c r="D349" s="24" t="s">
        <v>40</v>
      </c>
      <c r="E349" s="25">
        <f>E350+E351+E352</f>
        <v>8920.16</v>
      </c>
      <c r="F349" s="26">
        <v>3</v>
      </c>
      <c r="G349" s="25">
        <f>G351+G352</f>
        <v>4.19385</v>
      </c>
      <c r="H349" s="25">
        <f>H351+H352</f>
        <v>16584.81</v>
      </c>
      <c r="I349" s="48">
        <f>I351+I352</f>
        <v>3.65</v>
      </c>
      <c r="J349" s="48"/>
      <c r="K349" s="48"/>
      <c r="L349" s="48"/>
      <c r="M349" s="48"/>
      <c r="N349" s="48"/>
    </row>
    <row r="350" spans="1:14" ht="12.75" customHeight="1">
      <c r="A350" s="445"/>
      <c r="B350" s="423"/>
      <c r="C350" s="403"/>
      <c r="D350" s="24">
        <v>2013</v>
      </c>
      <c r="E350" s="25">
        <v>1196.3</v>
      </c>
      <c r="F350" s="26">
        <v>3</v>
      </c>
      <c r="G350" s="25"/>
      <c r="H350" s="25"/>
      <c r="I350" s="48"/>
      <c r="J350" s="48"/>
      <c r="K350" s="48"/>
      <c r="L350" s="48"/>
      <c r="M350" s="48"/>
      <c r="N350" s="48"/>
    </row>
    <row r="351" spans="1:14" ht="12.75" customHeight="1">
      <c r="A351" s="445"/>
      <c r="B351" s="423"/>
      <c r="C351" s="403"/>
      <c r="D351" s="24">
        <v>2014</v>
      </c>
      <c r="E351" s="25">
        <v>6637.8</v>
      </c>
      <c r="F351" s="26">
        <v>3</v>
      </c>
      <c r="G351" s="25"/>
      <c r="H351" s="25"/>
      <c r="I351" s="48"/>
      <c r="J351" s="48"/>
      <c r="K351" s="48"/>
      <c r="L351" s="48"/>
      <c r="M351" s="48"/>
      <c r="N351" s="48"/>
    </row>
    <row r="352" spans="1:14" ht="12.75" customHeight="1">
      <c r="A352" s="451"/>
      <c r="B352" s="671"/>
      <c r="C352" s="403"/>
      <c r="D352" s="24">
        <v>2015</v>
      </c>
      <c r="E352" s="25">
        <v>1086.06</v>
      </c>
      <c r="F352" s="26">
        <v>3</v>
      </c>
      <c r="G352" s="25">
        <f>I352*1.149+L352*0.325</f>
        <v>4.19385</v>
      </c>
      <c r="H352" s="25">
        <v>16584.81</v>
      </c>
      <c r="I352" s="48">
        <v>3.65</v>
      </c>
      <c r="J352" s="48"/>
      <c r="K352" s="48"/>
      <c r="L352" s="48"/>
      <c r="M352" s="48"/>
      <c r="N352" s="48"/>
    </row>
    <row r="353" spans="1:14" ht="28.5" customHeight="1">
      <c r="A353" s="411">
        <v>40</v>
      </c>
      <c r="B353" s="422" t="s">
        <v>406</v>
      </c>
      <c r="C353" s="373" t="s">
        <v>35</v>
      </c>
      <c r="D353" s="24" t="s">
        <v>452</v>
      </c>
      <c r="E353" s="25">
        <f>E354+E355</f>
        <v>15010</v>
      </c>
      <c r="F353" s="26">
        <v>4</v>
      </c>
      <c r="G353" s="25">
        <f>G354+G355</f>
        <v>1.76</v>
      </c>
      <c r="H353" s="25">
        <f>H354+H355</f>
        <v>3129.68</v>
      </c>
      <c r="I353" s="48">
        <f>I354+I355</f>
        <v>1.52</v>
      </c>
      <c r="J353" s="48"/>
      <c r="K353" s="48"/>
      <c r="L353" s="48"/>
      <c r="M353" s="48"/>
      <c r="N353" s="48"/>
    </row>
    <row r="354" spans="1:14" ht="24.75" customHeight="1">
      <c r="A354" s="412"/>
      <c r="B354" s="423"/>
      <c r="C354" s="348"/>
      <c r="D354" s="24">
        <v>2011</v>
      </c>
      <c r="E354" s="25">
        <v>7505</v>
      </c>
      <c r="F354" s="26">
        <v>4</v>
      </c>
      <c r="G354" s="25">
        <v>0.88</v>
      </c>
      <c r="H354" s="25">
        <v>1564.84</v>
      </c>
      <c r="I354" s="48">
        <v>0.76</v>
      </c>
      <c r="J354" s="48"/>
      <c r="K354" s="48"/>
      <c r="L354" s="48"/>
      <c r="M354" s="48"/>
      <c r="N354" s="48"/>
    </row>
    <row r="355" spans="1:14" ht="24" customHeight="1">
      <c r="A355" s="419"/>
      <c r="B355" s="671"/>
      <c r="C355" s="349"/>
      <c r="D355" s="24">
        <v>2012</v>
      </c>
      <c r="E355" s="25">
        <v>7505</v>
      </c>
      <c r="F355" s="26">
        <v>4</v>
      </c>
      <c r="G355" s="25">
        <v>0.88</v>
      </c>
      <c r="H355" s="25">
        <v>1564.84</v>
      </c>
      <c r="I355" s="48">
        <v>0.76</v>
      </c>
      <c r="J355" s="48"/>
      <c r="K355" s="48"/>
      <c r="L355" s="48"/>
      <c r="M355" s="48"/>
      <c r="N355" s="48"/>
    </row>
    <row r="356" spans="1:14" ht="21.75" customHeight="1">
      <c r="A356" s="443" t="s">
        <v>328</v>
      </c>
      <c r="B356" s="439" t="s">
        <v>39</v>
      </c>
      <c r="C356" s="403" t="s">
        <v>35</v>
      </c>
      <c r="D356" s="24" t="s">
        <v>40</v>
      </c>
      <c r="E356" s="25">
        <f>SUM(E357:E359)</f>
        <v>49241.45</v>
      </c>
      <c r="F356" s="26">
        <v>3</v>
      </c>
      <c r="G356" s="25">
        <f>I356*1.149+N356</f>
        <v>63.35586</v>
      </c>
      <c r="H356" s="25">
        <f>H357+H358+H359</f>
        <v>120921.37000000001</v>
      </c>
      <c r="I356" s="48">
        <f>I357+I358+I359</f>
        <v>55.14</v>
      </c>
      <c r="J356" s="48"/>
      <c r="K356" s="48"/>
      <c r="L356" s="48"/>
      <c r="M356" s="48"/>
      <c r="N356" s="48"/>
    </row>
    <row r="357" spans="1:14" ht="9.75" customHeight="1">
      <c r="A357" s="443"/>
      <c r="B357" s="439"/>
      <c r="C357" s="403"/>
      <c r="D357" s="24">
        <v>2013</v>
      </c>
      <c r="E357" s="25">
        <v>49241.45</v>
      </c>
      <c r="F357" s="26">
        <v>3</v>
      </c>
      <c r="G357" s="25">
        <f>I357*1.149+N357</f>
        <v>21.11862</v>
      </c>
      <c r="H357" s="25">
        <v>38868.16</v>
      </c>
      <c r="I357" s="48">
        <v>18.38</v>
      </c>
      <c r="J357" s="48"/>
      <c r="K357" s="48"/>
      <c r="L357" s="48"/>
      <c r="M357" s="48"/>
      <c r="N357" s="48"/>
    </row>
    <row r="358" spans="1:14" ht="11.25" customHeight="1">
      <c r="A358" s="443"/>
      <c r="B358" s="439"/>
      <c r="C358" s="403"/>
      <c r="D358" s="24">
        <v>2014</v>
      </c>
      <c r="E358" s="25"/>
      <c r="F358" s="26"/>
      <c r="G358" s="25">
        <f>I358*1.149+N358</f>
        <v>21.11862</v>
      </c>
      <c r="H358" s="25">
        <v>40303.63</v>
      </c>
      <c r="I358" s="48">
        <v>18.38</v>
      </c>
      <c r="J358" s="48"/>
      <c r="K358" s="48"/>
      <c r="L358" s="48"/>
      <c r="M358" s="48"/>
      <c r="N358" s="48"/>
    </row>
    <row r="359" spans="1:14" ht="10.5" customHeight="1">
      <c r="A359" s="443"/>
      <c r="B359" s="439"/>
      <c r="C359" s="403"/>
      <c r="D359" s="24">
        <v>2015</v>
      </c>
      <c r="E359" s="25"/>
      <c r="F359" s="26"/>
      <c r="G359" s="25">
        <f>I359*1.149+N359</f>
        <v>21.11862</v>
      </c>
      <c r="H359" s="25">
        <v>41749.58</v>
      </c>
      <c r="I359" s="48">
        <v>18.38</v>
      </c>
      <c r="J359" s="48"/>
      <c r="K359" s="48"/>
      <c r="L359" s="48"/>
      <c r="M359" s="48"/>
      <c r="N359" s="48"/>
    </row>
    <row r="360" spans="1:14" ht="22.5" customHeight="1">
      <c r="A360" s="411">
        <v>41</v>
      </c>
      <c r="B360" s="422" t="s">
        <v>169</v>
      </c>
      <c r="C360" s="373" t="s">
        <v>44</v>
      </c>
      <c r="D360" s="24" t="s">
        <v>450</v>
      </c>
      <c r="E360" s="25">
        <f>SUM(E361:E365)</f>
        <v>172</v>
      </c>
      <c r="F360" s="26">
        <v>3</v>
      </c>
      <c r="G360" s="25">
        <f>SUM(G361:G365)</f>
        <v>78.49534</v>
      </c>
      <c r="H360" s="25">
        <f>SUM(H361:H365)</f>
        <v>217857.76</v>
      </c>
      <c r="I360" s="48">
        <f>SUM(I361:I365)</f>
        <v>67.97999999999999</v>
      </c>
      <c r="J360" s="48"/>
      <c r="K360" s="48"/>
      <c r="L360" s="48"/>
      <c r="M360" s="48"/>
      <c r="N360" s="48"/>
    </row>
    <row r="361" spans="1:14" ht="12.75" customHeight="1">
      <c r="A361" s="412"/>
      <c r="B361" s="423"/>
      <c r="C361" s="348"/>
      <c r="D361" s="24">
        <v>2011</v>
      </c>
      <c r="E361" s="25">
        <v>86</v>
      </c>
      <c r="F361" s="26">
        <v>3</v>
      </c>
      <c r="G361" s="25">
        <v>15.7</v>
      </c>
      <c r="H361" s="25">
        <v>27500</v>
      </c>
      <c r="I361" s="48">
        <v>13.5</v>
      </c>
      <c r="J361" s="48"/>
      <c r="K361" s="48"/>
      <c r="L361" s="48"/>
      <c r="M361" s="48"/>
      <c r="N361" s="48"/>
    </row>
    <row r="362" spans="1:14" ht="12.75" customHeight="1">
      <c r="A362" s="412"/>
      <c r="B362" s="423"/>
      <c r="C362" s="348"/>
      <c r="D362" s="24">
        <v>2012</v>
      </c>
      <c r="E362" s="25">
        <v>86</v>
      </c>
      <c r="F362" s="26">
        <v>3</v>
      </c>
      <c r="G362" s="25">
        <v>15.7</v>
      </c>
      <c r="H362" s="25">
        <v>27500</v>
      </c>
      <c r="I362" s="48">
        <v>13.5</v>
      </c>
      <c r="J362" s="48"/>
      <c r="K362" s="48"/>
      <c r="L362" s="48"/>
      <c r="M362" s="48"/>
      <c r="N362" s="48"/>
    </row>
    <row r="363" spans="1:14" ht="9.75" customHeight="1">
      <c r="A363" s="412"/>
      <c r="B363" s="423"/>
      <c r="C363" s="348"/>
      <c r="D363" s="24">
        <v>2013</v>
      </c>
      <c r="E363" s="25"/>
      <c r="F363" s="26"/>
      <c r="G363" s="25">
        <v>15.7</v>
      </c>
      <c r="H363" s="25">
        <v>52149.54</v>
      </c>
      <c r="I363" s="48">
        <v>13.66</v>
      </c>
      <c r="J363" s="48"/>
      <c r="K363" s="48"/>
      <c r="L363" s="48"/>
      <c r="M363" s="48"/>
      <c r="N363" s="48"/>
    </row>
    <row r="364" spans="1:14" ht="12.75" customHeight="1">
      <c r="A364" s="419"/>
      <c r="B364" s="671"/>
      <c r="C364" s="349"/>
      <c r="D364" s="24">
        <v>2014</v>
      </c>
      <c r="E364" s="25"/>
      <c r="F364" s="26"/>
      <c r="G364" s="25">
        <v>15.7</v>
      </c>
      <c r="H364" s="25">
        <v>54285.83</v>
      </c>
      <c r="I364" s="48">
        <v>13.66</v>
      </c>
      <c r="J364" s="48"/>
      <c r="K364" s="48"/>
      <c r="L364" s="48"/>
      <c r="M364" s="48"/>
      <c r="N364" s="48"/>
    </row>
    <row r="365" spans="1:14" ht="12.75" customHeight="1">
      <c r="A365" s="41"/>
      <c r="B365" s="45"/>
      <c r="C365" s="24"/>
      <c r="D365" s="24">
        <v>2015</v>
      </c>
      <c r="E365" s="25"/>
      <c r="F365" s="26"/>
      <c r="G365" s="25">
        <f>I365*1.149</f>
        <v>15.69534</v>
      </c>
      <c r="H365" s="25">
        <v>56422.39</v>
      </c>
      <c r="I365" s="48">
        <v>13.66</v>
      </c>
      <c r="J365" s="48"/>
      <c r="K365" s="48"/>
      <c r="L365" s="48"/>
      <c r="M365" s="48"/>
      <c r="N365" s="48"/>
    </row>
    <row r="366" spans="1:14" ht="23.25" customHeight="1">
      <c r="A366" s="417">
        <v>42</v>
      </c>
      <c r="B366" s="439" t="s">
        <v>170</v>
      </c>
      <c r="C366" s="403" t="s">
        <v>171</v>
      </c>
      <c r="D366" s="24" t="s">
        <v>450</v>
      </c>
      <c r="E366" s="25">
        <f>SUM(E367:E371)</f>
        <v>642544</v>
      </c>
      <c r="F366" s="26">
        <v>3</v>
      </c>
      <c r="G366" s="25">
        <f>SUM(G367:G371)</f>
        <v>380</v>
      </c>
      <c r="H366" s="25">
        <f>SUM(H367:H371)</f>
        <v>667321.2</v>
      </c>
      <c r="I366" s="48">
        <f>SUM(I367:I371)</f>
        <v>327.6</v>
      </c>
      <c r="J366" s="48"/>
      <c r="K366" s="48"/>
      <c r="L366" s="48"/>
      <c r="M366" s="48"/>
      <c r="N366" s="48"/>
    </row>
    <row r="367" spans="1:14" ht="12.75" customHeight="1">
      <c r="A367" s="417"/>
      <c r="B367" s="439"/>
      <c r="C367" s="403"/>
      <c r="D367" s="24">
        <v>2011</v>
      </c>
      <c r="E367" s="25">
        <v>642544</v>
      </c>
      <c r="F367" s="26">
        <v>3</v>
      </c>
      <c r="G367" s="25">
        <v>0</v>
      </c>
      <c r="H367" s="25">
        <v>0</v>
      </c>
      <c r="I367" s="48">
        <v>0</v>
      </c>
      <c r="J367" s="48"/>
      <c r="K367" s="48"/>
      <c r="L367" s="48"/>
      <c r="M367" s="48"/>
      <c r="N367" s="48"/>
    </row>
    <row r="368" spans="1:14" ht="12.75" customHeight="1">
      <c r="A368" s="417"/>
      <c r="B368" s="439"/>
      <c r="C368" s="403"/>
      <c r="D368" s="24">
        <v>2012</v>
      </c>
      <c r="E368" s="25"/>
      <c r="F368" s="26"/>
      <c r="G368" s="47">
        <v>95</v>
      </c>
      <c r="H368" s="25">
        <v>166830.3</v>
      </c>
      <c r="I368" s="48">
        <v>81.9</v>
      </c>
      <c r="J368" s="48"/>
      <c r="K368" s="48"/>
      <c r="L368" s="48"/>
      <c r="M368" s="48"/>
      <c r="N368" s="48"/>
    </row>
    <row r="369" spans="1:14" ht="12.75" customHeight="1">
      <c r="A369" s="417"/>
      <c r="B369" s="439"/>
      <c r="C369" s="403"/>
      <c r="D369" s="24">
        <v>2013</v>
      </c>
      <c r="E369" s="25"/>
      <c r="F369" s="26"/>
      <c r="G369" s="47">
        <v>95</v>
      </c>
      <c r="H369" s="25">
        <v>166830.3</v>
      </c>
      <c r="I369" s="48">
        <v>81.9</v>
      </c>
      <c r="J369" s="48"/>
      <c r="K369" s="48"/>
      <c r="L369" s="48"/>
      <c r="M369" s="48"/>
      <c r="N369" s="48"/>
    </row>
    <row r="370" spans="1:14" ht="12.75" customHeight="1">
      <c r="A370" s="417"/>
      <c r="B370" s="439"/>
      <c r="C370" s="403"/>
      <c r="D370" s="24">
        <v>2014</v>
      </c>
      <c r="E370" s="25"/>
      <c r="F370" s="26"/>
      <c r="G370" s="47">
        <v>95</v>
      </c>
      <c r="H370" s="25">
        <v>166830.3</v>
      </c>
      <c r="I370" s="48">
        <v>81.9</v>
      </c>
      <c r="J370" s="48"/>
      <c r="K370" s="48"/>
      <c r="L370" s="48"/>
      <c r="M370" s="48"/>
      <c r="N370" s="48"/>
    </row>
    <row r="371" spans="1:14" ht="12.75" customHeight="1">
      <c r="A371" s="417"/>
      <c r="B371" s="439"/>
      <c r="C371" s="403"/>
      <c r="D371" s="24">
        <v>2015</v>
      </c>
      <c r="E371" s="25"/>
      <c r="F371" s="26"/>
      <c r="G371" s="47">
        <v>95</v>
      </c>
      <c r="H371" s="25">
        <v>166830.3</v>
      </c>
      <c r="I371" s="48">
        <v>81.9</v>
      </c>
      <c r="J371" s="48"/>
      <c r="K371" s="48"/>
      <c r="L371" s="48"/>
      <c r="M371" s="48"/>
      <c r="N371" s="48"/>
    </row>
    <row r="372" spans="1:14" ht="21.75" customHeight="1">
      <c r="A372" s="417">
        <v>43</v>
      </c>
      <c r="B372" s="284" t="s">
        <v>197</v>
      </c>
      <c r="C372" s="403" t="s">
        <v>171</v>
      </c>
      <c r="D372" s="24" t="s">
        <v>450</v>
      </c>
      <c r="E372" s="25">
        <f>SUM(E373:E377)</f>
        <v>74640</v>
      </c>
      <c r="F372" s="26">
        <v>3</v>
      </c>
      <c r="G372" s="25">
        <f>SUM(G373:G377)</f>
        <v>186.32</v>
      </c>
      <c r="H372" s="25">
        <f>SUM(H373:H377)</f>
        <v>146826.45</v>
      </c>
      <c r="I372" s="48"/>
      <c r="J372" s="48"/>
      <c r="K372" s="48"/>
      <c r="L372" s="48">
        <f>SUM(L373:L377)</f>
        <v>271.89899999999994</v>
      </c>
      <c r="M372" s="48"/>
      <c r="N372" s="48"/>
    </row>
    <row r="373" spans="1:14" ht="12.75" customHeight="1">
      <c r="A373" s="417"/>
      <c r="B373" s="284"/>
      <c r="C373" s="403"/>
      <c r="D373" s="24">
        <v>2011</v>
      </c>
      <c r="E373" s="25">
        <v>74640</v>
      </c>
      <c r="F373" s="26">
        <v>3</v>
      </c>
      <c r="G373" s="25">
        <v>101</v>
      </c>
      <c r="H373" s="25">
        <v>15536.45</v>
      </c>
      <c r="I373" s="48"/>
      <c r="J373" s="48"/>
      <c r="K373" s="48"/>
      <c r="L373" s="48">
        <v>28.771</v>
      </c>
      <c r="M373" s="48"/>
      <c r="N373" s="48"/>
    </row>
    <row r="374" spans="1:14" ht="12.75" customHeight="1">
      <c r="A374" s="417"/>
      <c r="B374" s="284"/>
      <c r="C374" s="403"/>
      <c r="D374" s="24">
        <v>2012</v>
      </c>
      <c r="E374" s="25"/>
      <c r="F374" s="26"/>
      <c r="G374" s="25">
        <v>21.33</v>
      </c>
      <c r="H374" s="25">
        <v>32822.5</v>
      </c>
      <c r="I374" s="48"/>
      <c r="J374" s="48"/>
      <c r="K374" s="48"/>
      <c r="L374" s="48">
        <v>60.782</v>
      </c>
      <c r="M374" s="48"/>
      <c r="N374" s="48"/>
    </row>
    <row r="375" spans="1:14" ht="12.75" customHeight="1">
      <c r="A375" s="417"/>
      <c r="B375" s="284"/>
      <c r="C375" s="403"/>
      <c r="D375" s="24">
        <v>2013</v>
      </c>
      <c r="E375" s="25"/>
      <c r="F375" s="26"/>
      <c r="G375" s="25">
        <v>21.33</v>
      </c>
      <c r="H375" s="25">
        <v>32822.5</v>
      </c>
      <c r="I375" s="48"/>
      <c r="J375" s="48"/>
      <c r="K375" s="48"/>
      <c r="L375" s="48">
        <v>60.782</v>
      </c>
      <c r="M375" s="48"/>
      <c r="N375" s="48"/>
    </row>
    <row r="376" spans="1:14" ht="12.75" customHeight="1">
      <c r="A376" s="417"/>
      <c r="B376" s="284"/>
      <c r="C376" s="403"/>
      <c r="D376" s="24">
        <v>2014</v>
      </c>
      <c r="E376" s="25"/>
      <c r="F376" s="26"/>
      <c r="G376" s="25">
        <v>21.33</v>
      </c>
      <c r="H376" s="25">
        <v>32822.5</v>
      </c>
      <c r="I376" s="48"/>
      <c r="J376" s="48"/>
      <c r="K376" s="48"/>
      <c r="L376" s="48">
        <v>60.782</v>
      </c>
      <c r="M376" s="48"/>
      <c r="N376" s="48"/>
    </row>
    <row r="377" spans="1:14" ht="12.75" customHeight="1">
      <c r="A377" s="417"/>
      <c r="B377" s="284"/>
      <c r="C377" s="403"/>
      <c r="D377" s="24">
        <v>2015</v>
      </c>
      <c r="E377" s="25"/>
      <c r="F377" s="26"/>
      <c r="G377" s="25">
        <v>21.33</v>
      </c>
      <c r="H377" s="25">
        <v>32822.5</v>
      </c>
      <c r="I377" s="48"/>
      <c r="J377" s="48"/>
      <c r="K377" s="48"/>
      <c r="L377" s="48">
        <v>60.782</v>
      </c>
      <c r="M377" s="48"/>
      <c r="N377" s="48"/>
    </row>
    <row r="378" spans="1:14" ht="21.75" customHeight="1">
      <c r="A378" s="417">
        <v>44</v>
      </c>
      <c r="B378" s="439" t="s">
        <v>172</v>
      </c>
      <c r="C378" s="403" t="s">
        <v>291</v>
      </c>
      <c r="D378" s="24" t="s">
        <v>450</v>
      </c>
      <c r="E378" s="25">
        <f>SUM(E379:E383)</f>
        <v>5</v>
      </c>
      <c r="F378" s="26">
        <v>3</v>
      </c>
      <c r="G378" s="25">
        <f>SUM(G379:G383)</f>
        <v>2.41</v>
      </c>
      <c r="H378" s="25">
        <f>SUM(H379:H383)</f>
        <v>4.9799999999999995</v>
      </c>
      <c r="I378" s="48">
        <f>SUM(I379:I383)</f>
        <v>0.933</v>
      </c>
      <c r="J378" s="48"/>
      <c r="K378" s="48"/>
      <c r="L378" s="48">
        <f>SUM(L379:L383)</f>
        <v>3.7829999999999995</v>
      </c>
      <c r="M378" s="48"/>
      <c r="N378" s="48"/>
    </row>
    <row r="379" spans="1:14" ht="13.5" customHeight="1">
      <c r="A379" s="417"/>
      <c r="B379" s="439"/>
      <c r="C379" s="403"/>
      <c r="D379" s="24">
        <v>2011</v>
      </c>
      <c r="E379" s="25">
        <v>2.5</v>
      </c>
      <c r="F379" s="26">
        <v>3</v>
      </c>
      <c r="G379" s="25"/>
      <c r="H379" s="25"/>
      <c r="I379" s="48"/>
      <c r="J379" s="48"/>
      <c r="K379" s="48"/>
      <c r="L379" s="48"/>
      <c r="M379" s="48"/>
      <c r="N379" s="48"/>
    </row>
    <row r="380" spans="1:14" ht="13.5" customHeight="1">
      <c r="A380" s="417"/>
      <c r="B380" s="439"/>
      <c r="C380" s="403"/>
      <c r="D380" s="24">
        <v>2012</v>
      </c>
      <c r="E380" s="25">
        <v>2.5</v>
      </c>
      <c r="F380" s="26">
        <v>3</v>
      </c>
      <c r="G380" s="25"/>
      <c r="H380" s="25"/>
      <c r="I380" s="48"/>
      <c r="J380" s="48"/>
      <c r="K380" s="48"/>
      <c r="L380" s="48"/>
      <c r="M380" s="48"/>
      <c r="N380" s="48"/>
    </row>
    <row r="381" spans="1:14" ht="12.75" customHeight="1">
      <c r="A381" s="417"/>
      <c r="B381" s="439"/>
      <c r="C381" s="403"/>
      <c r="D381" s="24">
        <v>2013</v>
      </c>
      <c r="E381" s="25"/>
      <c r="F381" s="26"/>
      <c r="G381" s="25">
        <v>0.8</v>
      </c>
      <c r="H381" s="25">
        <v>1.66</v>
      </c>
      <c r="I381" s="48">
        <v>0.311</v>
      </c>
      <c r="J381" s="48"/>
      <c r="K381" s="48"/>
      <c r="L381" s="48">
        <v>1.261</v>
      </c>
      <c r="M381" s="48"/>
      <c r="N381" s="48"/>
    </row>
    <row r="382" spans="1:14" ht="13.5" customHeight="1">
      <c r="A382" s="417"/>
      <c r="B382" s="439"/>
      <c r="C382" s="403"/>
      <c r="D382" s="24">
        <v>2014</v>
      </c>
      <c r="E382" s="25"/>
      <c r="F382" s="26"/>
      <c r="G382" s="25">
        <v>0.8</v>
      </c>
      <c r="H382" s="25">
        <v>1.66</v>
      </c>
      <c r="I382" s="48">
        <v>0.311</v>
      </c>
      <c r="J382" s="48"/>
      <c r="K382" s="48"/>
      <c r="L382" s="48">
        <v>1.261</v>
      </c>
      <c r="M382" s="48"/>
      <c r="N382" s="48"/>
    </row>
    <row r="383" spans="1:14" ht="13.5" customHeight="1">
      <c r="A383" s="417"/>
      <c r="B383" s="439"/>
      <c r="C383" s="403"/>
      <c r="D383" s="24">
        <v>2015</v>
      </c>
      <c r="E383" s="25"/>
      <c r="F383" s="26"/>
      <c r="G383" s="25">
        <v>0.81</v>
      </c>
      <c r="H383" s="25">
        <v>1.66</v>
      </c>
      <c r="I383" s="48">
        <v>0.311</v>
      </c>
      <c r="J383" s="48"/>
      <c r="K383" s="48"/>
      <c r="L383" s="48">
        <v>1.261</v>
      </c>
      <c r="M383" s="48"/>
      <c r="N383" s="48"/>
    </row>
    <row r="384" spans="1:14" ht="22.5" customHeight="1">
      <c r="A384" s="417">
        <v>45</v>
      </c>
      <c r="B384" s="439" t="s">
        <v>196</v>
      </c>
      <c r="C384" s="403" t="s">
        <v>173</v>
      </c>
      <c r="D384" s="56" t="s">
        <v>454</v>
      </c>
      <c r="E384" s="25">
        <f>SUM(E385:E386)</f>
        <v>6600</v>
      </c>
      <c r="F384" s="26">
        <v>3</v>
      </c>
      <c r="G384" s="25">
        <f>SUM(G385:G386)</f>
        <v>3.51</v>
      </c>
      <c r="H384" s="25">
        <f>SUM(H385:H386)</f>
        <v>5010</v>
      </c>
      <c r="I384" s="48"/>
      <c r="J384" s="48"/>
      <c r="K384" s="48"/>
      <c r="L384" s="48">
        <f>SUM(L385:L386)</f>
        <v>10</v>
      </c>
      <c r="M384" s="48"/>
      <c r="N384" s="48"/>
    </row>
    <row r="385" spans="1:14" ht="22.5" customHeight="1">
      <c r="A385" s="417"/>
      <c r="B385" s="439"/>
      <c r="C385" s="403"/>
      <c r="D385" s="56">
        <v>2013</v>
      </c>
      <c r="E385" s="25">
        <v>3300</v>
      </c>
      <c r="F385" s="26">
        <v>3</v>
      </c>
      <c r="G385" s="25">
        <v>1.75</v>
      </c>
      <c r="H385" s="25">
        <v>2505</v>
      </c>
      <c r="I385" s="48"/>
      <c r="J385" s="48"/>
      <c r="K385" s="48"/>
      <c r="L385" s="48">
        <v>5</v>
      </c>
      <c r="M385" s="48"/>
      <c r="N385" s="48"/>
    </row>
    <row r="386" spans="1:14" ht="22.5" customHeight="1">
      <c r="A386" s="417"/>
      <c r="B386" s="439"/>
      <c r="C386" s="403"/>
      <c r="D386" s="56">
        <v>2014</v>
      </c>
      <c r="E386" s="25">
        <v>3300</v>
      </c>
      <c r="F386" s="26">
        <v>3</v>
      </c>
      <c r="G386" s="25">
        <v>1.76</v>
      </c>
      <c r="H386" s="25">
        <v>2505</v>
      </c>
      <c r="I386" s="48"/>
      <c r="J386" s="48"/>
      <c r="K386" s="48"/>
      <c r="L386" s="48">
        <v>5</v>
      </c>
      <c r="M386" s="48"/>
      <c r="N386" s="48"/>
    </row>
    <row r="387" spans="1:14" ht="43.5" customHeight="1">
      <c r="A387" s="41">
        <v>46</v>
      </c>
      <c r="B387" s="45" t="s">
        <v>386</v>
      </c>
      <c r="C387" s="24" t="s">
        <v>173</v>
      </c>
      <c r="D387" s="56">
        <v>2015</v>
      </c>
      <c r="E387" s="25">
        <v>2500</v>
      </c>
      <c r="F387" s="26">
        <v>3</v>
      </c>
      <c r="G387" s="25">
        <v>0.77</v>
      </c>
      <c r="H387" s="25">
        <v>4356</v>
      </c>
      <c r="I387" s="48"/>
      <c r="J387" s="48"/>
      <c r="K387" s="48"/>
      <c r="L387" s="48">
        <v>2.186</v>
      </c>
      <c r="M387" s="48"/>
      <c r="N387" s="48"/>
    </row>
    <row r="388" spans="1:14" ht="22.5" customHeight="1">
      <c r="A388" s="411">
        <v>47</v>
      </c>
      <c r="B388" s="422" t="s">
        <v>174</v>
      </c>
      <c r="C388" s="373" t="s">
        <v>173</v>
      </c>
      <c r="D388" s="24" t="s">
        <v>453</v>
      </c>
      <c r="E388" s="25">
        <f>SUM(E389:E391)</f>
        <v>47000</v>
      </c>
      <c r="F388" s="26">
        <v>3</v>
      </c>
      <c r="G388" s="25">
        <f>SUM(G389:G391)</f>
        <v>4.83</v>
      </c>
      <c r="H388" s="25">
        <f>SUM(H389:H391)</f>
        <v>19081.920000000002</v>
      </c>
      <c r="I388" s="48">
        <f>SUM(I389:I391)</f>
        <v>0.258</v>
      </c>
      <c r="J388" s="48"/>
      <c r="K388" s="48"/>
      <c r="L388" s="48">
        <f>SUM(L389:L391)</f>
        <v>12.927</v>
      </c>
      <c r="M388" s="48"/>
      <c r="N388" s="48"/>
    </row>
    <row r="389" spans="1:14" ht="12.75" customHeight="1">
      <c r="A389" s="412"/>
      <c r="B389" s="423"/>
      <c r="C389" s="408"/>
      <c r="D389" s="24">
        <v>2012</v>
      </c>
      <c r="E389" s="25">
        <v>24000</v>
      </c>
      <c r="F389" s="26">
        <v>3</v>
      </c>
      <c r="G389" s="25">
        <v>1.61</v>
      </c>
      <c r="H389" s="25">
        <v>6360.64</v>
      </c>
      <c r="I389" s="48">
        <v>0.086</v>
      </c>
      <c r="J389" s="48"/>
      <c r="K389" s="48"/>
      <c r="L389" s="48">
        <v>4.309</v>
      </c>
      <c r="M389" s="48"/>
      <c r="N389" s="48"/>
    </row>
    <row r="390" spans="1:14" ht="12.75" customHeight="1">
      <c r="A390" s="412"/>
      <c r="B390" s="423"/>
      <c r="C390" s="408"/>
      <c r="D390" s="24">
        <v>2013</v>
      </c>
      <c r="E390" s="25">
        <v>8000</v>
      </c>
      <c r="F390" s="26">
        <v>3</v>
      </c>
      <c r="G390" s="25">
        <v>1.61</v>
      </c>
      <c r="H390" s="25">
        <v>6360.64</v>
      </c>
      <c r="I390" s="48">
        <v>0.086</v>
      </c>
      <c r="J390" s="48"/>
      <c r="K390" s="48"/>
      <c r="L390" s="48">
        <v>4.309</v>
      </c>
      <c r="M390" s="48"/>
      <c r="N390" s="48"/>
    </row>
    <row r="391" spans="1:14" ht="12.75" customHeight="1">
      <c r="A391" s="413"/>
      <c r="B391" s="399"/>
      <c r="C391" s="409"/>
      <c r="D391" s="24">
        <v>2014</v>
      </c>
      <c r="E391" s="25">
        <v>15000</v>
      </c>
      <c r="F391" s="26">
        <v>3</v>
      </c>
      <c r="G391" s="25">
        <v>1.61</v>
      </c>
      <c r="H391" s="25">
        <v>6360.64</v>
      </c>
      <c r="I391" s="48">
        <v>0.086</v>
      </c>
      <c r="J391" s="48"/>
      <c r="K391" s="48"/>
      <c r="L391" s="48">
        <v>4.309</v>
      </c>
      <c r="M391" s="48"/>
      <c r="N391" s="48"/>
    </row>
    <row r="392" spans="1:14" ht="21.75" customHeight="1">
      <c r="A392" s="411">
        <v>48</v>
      </c>
      <c r="B392" s="422" t="s">
        <v>175</v>
      </c>
      <c r="C392" s="24" t="s">
        <v>176</v>
      </c>
      <c r="D392" s="56">
        <v>2011</v>
      </c>
      <c r="E392" s="25">
        <v>142.7</v>
      </c>
      <c r="F392" s="26">
        <v>3</v>
      </c>
      <c r="G392" s="25">
        <v>0.059</v>
      </c>
      <c r="H392" s="25">
        <v>85.2</v>
      </c>
      <c r="I392" s="48"/>
      <c r="J392" s="48"/>
      <c r="K392" s="48"/>
      <c r="L392" s="48">
        <v>0.168</v>
      </c>
      <c r="M392" s="48"/>
      <c r="N392" s="48"/>
    </row>
    <row r="393" spans="1:14" ht="21" customHeight="1">
      <c r="A393" s="412"/>
      <c r="B393" s="398"/>
      <c r="C393" s="403" t="s">
        <v>177</v>
      </c>
      <c r="D393" s="24" t="s">
        <v>452</v>
      </c>
      <c r="E393" s="25">
        <f>E394+E395</f>
        <v>20</v>
      </c>
      <c r="F393" s="26">
        <v>3</v>
      </c>
      <c r="G393" s="25">
        <f>G394+G395</f>
        <v>0.06</v>
      </c>
      <c r="H393" s="25">
        <f>H394+H395</f>
        <v>67.4</v>
      </c>
      <c r="I393" s="48"/>
      <c r="J393" s="48"/>
      <c r="K393" s="48"/>
      <c r="L393" s="25">
        <f>L394+L395</f>
        <v>0.16</v>
      </c>
      <c r="M393" s="48"/>
      <c r="N393" s="48"/>
    </row>
    <row r="394" spans="1:14" ht="12.75" customHeight="1">
      <c r="A394" s="412"/>
      <c r="B394" s="398"/>
      <c r="C394" s="403"/>
      <c r="D394" s="24">
        <v>2011</v>
      </c>
      <c r="E394" s="25">
        <v>10</v>
      </c>
      <c r="F394" s="26">
        <v>3</v>
      </c>
      <c r="G394" s="25">
        <v>0.03</v>
      </c>
      <c r="H394" s="25">
        <v>33.7</v>
      </c>
      <c r="I394" s="48"/>
      <c r="J394" s="48"/>
      <c r="K394" s="48"/>
      <c r="L394" s="48">
        <v>0.08</v>
      </c>
      <c r="M394" s="48"/>
      <c r="N394" s="48"/>
    </row>
    <row r="395" spans="1:14" ht="11.25" customHeight="1">
      <c r="A395" s="412"/>
      <c r="B395" s="398"/>
      <c r="C395" s="403"/>
      <c r="D395" s="24">
        <v>2012</v>
      </c>
      <c r="E395" s="25">
        <v>10</v>
      </c>
      <c r="F395" s="26">
        <v>3</v>
      </c>
      <c r="G395" s="25">
        <v>0.03</v>
      </c>
      <c r="H395" s="25">
        <v>33.7</v>
      </c>
      <c r="I395" s="48"/>
      <c r="J395" s="48"/>
      <c r="K395" s="48"/>
      <c r="L395" s="48">
        <v>0.08</v>
      </c>
      <c r="M395" s="48"/>
      <c r="N395" s="48"/>
    </row>
    <row r="396" spans="1:14" ht="21" customHeight="1">
      <c r="A396" s="412"/>
      <c r="B396" s="398"/>
      <c r="C396" s="403" t="s">
        <v>178</v>
      </c>
      <c r="D396" s="24" t="s">
        <v>450</v>
      </c>
      <c r="E396" s="25">
        <f>E397+E398+E399+E400+E401</f>
        <v>50</v>
      </c>
      <c r="F396" s="26">
        <v>3</v>
      </c>
      <c r="G396" s="25">
        <f>G397+G398+G399+G400+G401</f>
        <v>0.15</v>
      </c>
      <c r="H396" s="25">
        <f>H397+H398+H399+H400+H401</f>
        <v>197.5</v>
      </c>
      <c r="I396" s="48"/>
      <c r="J396" s="48"/>
      <c r="K396" s="48"/>
      <c r="L396" s="48">
        <f>L397+L398+L399+L400+L401</f>
        <v>0.39</v>
      </c>
      <c r="M396" s="48"/>
      <c r="N396" s="48"/>
    </row>
    <row r="397" spans="1:14" ht="12" customHeight="1">
      <c r="A397" s="412"/>
      <c r="B397" s="398"/>
      <c r="C397" s="403"/>
      <c r="D397" s="24">
        <v>2011</v>
      </c>
      <c r="E397" s="25">
        <v>10</v>
      </c>
      <c r="F397" s="26">
        <v>3</v>
      </c>
      <c r="G397" s="25">
        <v>0.03</v>
      </c>
      <c r="H397" s="25">
        <v>39.5</v>
      </c>
      <c r="I397" s="48"/>
      <c r="J397" s="48"/>
      <c r="K397" s="48"/>
      <c r="L397" s="48">
        <v>0.078</v>
      </c>
      <c r="M397" s="48"/>
      <c r="N397" s="48"/>
    </row>
    <row r="398" spans="1:14" ht="12.75" customHeight="1">
      <c r="A398" s="412"/>
      <c r="B398" s="398"/>
      <c r="C398" s="403"/>
      <c r="D398" s="24">
        <v>2012</v>
      </c>
      <c r="E398" s="25">
        <v>10</v>
      </c>
      <c r="F398" s="26">
        <v>3</v>
      </c>
      <c r="G398" s="25">
        <v>0.03</v>
      </c>
      <c r="H398" s="25">
        <v>39.5</v>
      </c>
      <c r="I398" s="48"/>
      <c r="J398" s="48"/>
      <c r="K398" s="48"/>
      <c r="L398" s="48">
        <v>0.078</v>
      </c>
      <c r="M398" s="48"/>
      <c r="N398" s="48"/>
    </row>
    <row r="399" spans="1:14" ht="12.75" customHeight="1">
      <c r="A399" s="412"/>
      <c r="B399" s="398"/>
      <c r="C399" s="403"/>
      <c r="D399" s="24">
        <v>2013</v>
      </c>
      <c r="E399" s="25">
        <v>10</v>
      </c>
      <c r="F399" s="26">
        <v>3</v>
      </c>
      <c r="G399" s="25">
        <v>0.03</v>
      </c>
      <c r="H399" s="25">
        <v>39.5</v>
      </c>
      <c r="I399" s="48"/>
      <c r="J399" s="48"/>
      <c r="K399" s="48"/>
      <c r="L399" s="48">
        <v>0.078</v>
      </c>
      <c r="M399" s="48"/>
      <c r="N399" s="48"/>
    </row>
    <row r="400" spans="1:14" ht="12.75" customHeight="1">
      <c r="A400" s="412"/>
      <c r="B400" s="398"/>
      <c r="C400" s="403"/>
      <c r="D400" s="24">
        <v>2014</v>
      </c>
      <c r="E400" s="25">
        <v>10</v>
      </c>
      <c r="F400" s="26">
        <v>3</v>
      </c>
      <c r="G400" s="25">
        <v>0.03</v>
      </c>
      <c r="H400" s="25">
        <v>39.5</v>
      </c>
      <c r="I400" s="48"/>
      <c r="J400" s="48"/>
      <c r="K400" s="48"/>
      <c r="L400" s="48">
        <v>0.078</v>
      </c>
      <c r="M400" s="48"/>
      <c r="N400" s="48"/>
    </row>
    <row r="401" spans="1:14" ht="12.75" customHeight="1">
      <c r="A401" s="419"/>
      <c r="B401" s="399"/>
      <c r="C401" s="403"/>
      <c r="D401" s="24">
        <v>2015</v>
      </c>
      <c r="E401" s="25">
        <v>10</v>
      </c>
      <c r="F401" s="26">
        <v>3</v>
      </c>
      <c r="G401" s="25">
        <v>0.03</v>
      </c>
      <c r="H401" s="25">
        <v>39.5</v>
      </c>
      <c r="I401" s="48"/>
      <c r="J401" s="48"/>
      <c r="K401" s="48"/>
      <c r="L401" s="48">
        <v>0.078</v>
      </c>
      <c r="M401" s="48"/>
      <c r="N401" s="48"/>
    </row>
    <row r="402" spans="1:14" ht="21.75" customHeight="1">
      <c r="A402" s="388"/>
      <c r="B402" s="546"/>
      <c r="C402" s="403" t="s">
        <v>360</v>
      </c>
      <c r="D402" s="24" t="s">
        <v>451</v>
      </c>
      <c r="E402" s="25">
        <f>E403+E404+E405+E406</f>
        <v>49.44</v>
      </c>
      <c r="F402" s="26">
        <v>3</v>
      </c>
      <c r="G402" s="25">
        <f>G403+G404+G405+G406</f>
        <v>0.12</v>
      </c>
      <c r="H402" s="25">
        <f>H403+H404+H405+H406</f>
        <v>177.48</v>
      </c>
      <c r="I402" s="48"/>
      <c r="J402" s="48"/>
      <c r="K402" s="48"/>
      <c r="L402" s="48">
        <f>L403+L404+L405+L406</f>
        <v>0.324</v>
      </c>
      <c r="M402" s="48"/>
      <c r="N402" s="48"/>
    </row>
    <row r="403" spans="1:14" ht="12.75" customHeight="1">
      <c r="A403" s="394"/>
      <c r="B403" s="398"/>
      <c r="C403" s="403"/>
      <c r="D403" s="24">
        <v>2011</v>
      </c>
      <c r="E403" s="25">
        <v>12.36</v>
      </c>
      <c r="F403" s="26">
        <v>3</v>
      </c>
      <c r="G403" s="25">
        <v>0.03</v>
      </c>
      <c r="H403" s="25">
        <v>44.37</v>
      </c>
      <c r="I403" s="48"/>
      <c r="J403" s="48"/>
      <c r="K403" s="48"/>
      <c r="L403" s="48">
        <v>0.081</v>
      </c>
      <c r="M403" s="48"/>
      <c r="N403" s="48"/>
    </row>
    <row r="404" spans="1:14" ht="12.75" customHeight="1">
      <c r="A404" s="394"/>
      <c r="B404" s="398"/>
      <c r="C404" s="403"/>
      <c r="D404" s="24">
        <v>2012</v>
      </c>
      <c r="E404" s="25">
        <v>12.36</v>
      </c>
      <c r="F404" s="26">
        <v>3</v>
      </c>
      <c r="G404" s="25">
        <v>0.03</v>
      </c>
      <c r="H404" s="25">
        <v>44.37</v>
      </c>
      <c r="I404" s="48"/>
      <c r="J404" s="48"/>
      <c r="K404" s="48"/>
      <c r="L404" s="48">
        <v>0.081</v>
      </c>
      <c r="M404" s="48"/>
      <c r="N404" s="48"/>
    </row>
    <row r="405" spans="1:14" ht="12.75" customHeight="1">
      <c r="A405" s="394"/>
      <c r="B405" s="398"/>
      <c r="C405" s="403"/>
      <c r="D405" s="24">
        <v>2013</v>
      </c>
      <c r="E405" s="25">
        <v>12.36</v>
      </c>
      <c r="F405" s="26">
        <v>3</v>
      </c>
      <c r="G405" s="25">
        <v>0.03</v>
      </c>
      <c r="H405" s="25">
        <v>44.37</v>
      </c>
      <c r="I405" s="48"/>
      <c r="J405" s="48"/>
      <c r="K405" s="48"/>
      <c r="L405" s="48">
        <v>0.081</v>
      </c>
      <c r="M405" s="48"/>
      <c r="N405" s="48"/>
    </row>
    <row r="406" spans="1:14" ht="12.75" customHeight="1">
      <c r="A406" s="394"/>
      <c r="B406" s="398"/>
      <c r="C406" s="403"/>
      <c r="D406" s="24">
        <v>2014</v>
      </c>
      <c r="E406" s="25">
        <v>12.36</v>
      </c>
      <c r="F406" s="26">
        <v>3</v>
      </c>
      <c r="G406" s="25">
        <v>0.03</v>
      </c>
      <c r="H406" s="25">
        <v>44.37</v>
      </c>
      <c r="I406" s="48"/>
      <c r="J406" s="48"/>
      <c r="K406" s="48"/>
      <c r="L406" s="48">
        <v>0.081</v>
      </c>
      <c r="M406" s="48"/>
      <c r="N406" s="48"/>
    </row>
    <row r="407" spans="1:14" ht="12.75" customHeight="1">
      <c r="A407" s="413"/>
      <c r="B407" s="399"/>
      <c r="C407" s="24" t="s">
        <v>32</v>
      </c>
      <c r="D407" s="24">
        <v>2013</v>
      </c>
      <c r="E407" s="25">
        <v>4820</v>
      </c>
      <c r="F407" s="26">
        <v>3</v>
      </c>
      <c r="G407" s="25">
        <f>L407*0.325</f>
        <v>0.8515</v>
      </c>
      <c r="H407" s="25">
        <v>1.95</v>
      </c>
      <c r="I407" s="48"/>
      <c r="J407" s="48"/>
      <c r="K407" s="48"/>
      <c r="L407" s="48">
        <v>2.62</v>
      </c>
      <c r="M407" s="48"/>
      <c r="N407" s="48"/>
    </row>
    <row r="408" spans="1:14" ht="33.75" customHeight="1">
      <c r="A408" s="58" t="s">
        <v>329</v>
      </c>
      <c r="B408" s="76" t="s">
        <v>33</v>
      </c>
      <c r="C408" s="56" t="s">
        <v>32</v>
      </c>
      <c r="D408" s="56">
        <v>2013</v>
      </c>
      <c r="E408" s="25">
        <v>8112.8</v>
      </c>
      <c r="F408" s="26">
        <v>3</v>
      </c>
      <c r="G408" s="25">
        <f>L408*0.325+I408*1.149</f>
        <v>2.441777</v>
      </c>
      <c r="H408" s="25">
        <v>2.542</v>
      </c>
      <c r="I408" s="48">
        <v>1.248</v>
      </c>
      <c r="J408" s="48"/>
      <c r="K408" s="48"/>
      <c r="L408" s="48">
        <v>3.101</v>
      </c>
      <c r="M408" s="48"/>
      <c r="N408" s="48"/>
    </row>
    <row r="409" spans="1:14" ht="34.5" customHeight="1">
      <c r="A409" s="41">
        <v>49</v>
      </c>
      <c r="B409" s="45" t="s">
        <v>292</v>
      </c>
      <c r="C409" s="56" t="s">
        <v>176</v>
      </c>
      <c r="D409" s="56">
        <v>2012</v>
      </c>
      <c r="E409" s="25">
        <v>1887</v>
      </c>
      <c r="F409" s="26">
        <v>3</v>
      </c>
      <c r="G409" s="25">
        <v>1.737</v>
      </c>
      <c r="H409" s="25">
        <v>3648</v>
      </c>
      <c r="I409" s="48">
        <v>1.498</v>
      </c>
      <c r="J409" s="48"/>
      <c r="K409" s="48"/>
      <c r="L409" s="48"/>
      <c r="M409" s="48"/>
      <c r="N409" s="48"/>
    </row>
    <row r="410" spans="1:14" ht="33.75" customHeight="1">
      <c r="A410" s="41">
        <v>50</v>
      </c>
      <c r="B410" s="45" t="s">
        <v>182</v>
      </c>
      <c r="C410" s="56" t="s">
        <v>176</v>
      </c>
      <c r="D410" s="56">
        <v>2013</v>
      </c>
      <c r="E410" s="25">
        <v>370</v>
      </c>
      <c r="F410" s="26">
        <v>3</v>
      </c>
      <c r="G410" s="25">
        <v>0.105</v>
      </c>
      <c r="H410" s="25">
        <v>147.2</v>
      </c>
      <c r="I410" s="48"/>
      <c r="J410" s="48"/>
      <c r="K410" s="48"/>
      <c r="L410" s="48"/>
      <c r="M410" s="48">
        <v>0.736</v>
      </c>
      <c r="N410" s="48"/>
    </row>
    <row r="411" spans="1:14" ht="32.25" customHeight="1">
      <c r="A411" s="41">
        <v>51</v>
      </c>
      <c r="B411" s="45" t="s">
        <v>183</v>
      </c>
      <c r="C411" s="56" t="s">
        <v>176</v>
      </c>
      <c r="D411" s="56">
        <v>2014</v>
      </c>
      <c r="E411" s="25">
        <v>45.4</v>
      </c>
      <c r="F411" s="26">
        <v>3</v>
      </c>
      <c r="G411" s="25">
        <v>0.067</v>
      </c>
      <c r="H411" s="25">
        <v>97.2</v>
      </c>
      <c r="I411" s="48"/>
      <c r="J411" s="48"/>
      <c r="K411" s="48"/>
      <c r="L411" s="48">
        <v>0.191</v>
      </c>
      <c r="M411" s="48"/>
      <c r="N411" s="48"/>
    </row>
    <row r="412" spans="1:14" ht="55.5" customHeight="1">
      <c r="A412" s="41">
        <v>52</v>
      </c>
      <c r="B412" s="45" t="s">
        <v>4</v>
      </c>
      <c r="C412" s="56" t="s">
        <v>176</v>
      </c>
      <c r="D412" s="56">
        <v>2015</v>
      </c>
      <c r="E412" s="25">
        <v>7000</v>
      </c>
      <c r="F412" s="26">
        <v>3</v>
      </c>
      <c r="G412" s="25">
        <v>0.811</v>
      </c>
      <c r="H412" s="25">
        <v>1170.1</v>
      </c>
      <c r="I412" s="48">
        <v>0.699</v>
      </c>
      <c r="J412" s="48"/>
      <c r="K412" s="48"/>
      <c r="L412" s="48"/>
      <c r="M412" s="48"/>
      <c r="N412" s="48"/>
    </row>
    <row r="413" spans="1:14" ht="21.75" customHeight="1">
      <c r="A413" s="417">
        <v>53</v>
      </c>
      <c r="B413" s="439" t="s">
        <v>184</v>
      </c>
      <c r="C413" s="403" t="s">
        <v>5</v>
      </c>
      <c r="D413" s="56" t="s">
        <v>450</v>
      </c>
      <c r="E413" s="25">
        <f>SUM(E414:E418)</f>
        <v>3460</v>
      </c>
      <c r="F413" s="26">
        <v>3</v>
      </c>
      <c r="G413" s="25">
        <f>SUM(G414:G418)</f>
        <v>5.3</v>
      </c>
      <c r="H413" s="25">
        <f>SUM(H414:H418)</f>
        <v>9635.400000000001</v>
      </c>
      <c r="I413" s="48">
        <f>SUM(I414:I418)</f>
        <v>4.569</v>
      </c>
      <c r="J413" s="48"/>
      <c r="K413" s="48"/>
      <c r="L413" s="48"/>
      <c r="M413" s="48"/>
      <c r="N413" s="48"/>
    </row>
    <row r="414" spans="1:14" ht="15" customHeight="1">
      <c r="A414" s="417"/>
      <c r="B414" s="439"/>
      <c r="C414" s="403"/>
      <c r="D414" s="24">
        <v>2011</v>
      </c>
      <c r="E414" s="25">
        <v>2460</v>
      </c>
      <c r="F414" s="26">
        <v>3</v>
      </c>
      <c r="G414" s="25">
        <v>0.95</v>
      </c>
      <c r="H414" s="25">
        <v>1727</v>
      </c>
      <c r="I414" s="48">
        <v>0.82</v>
      </c>
      <c r="J414" s="48"/>
      <c r="K414" s="48"/>
      <c r="L414" s="48"/>
      <c r="M414" s="48"/>
      <c r="N414" s="48"/>
    </row>
    <row r="415" spans="1:14" ht="12.75" customHeight="1">
      <c r="A415" s="417"/>
      <c r="B415" s="439"/>
      <c r="C415" s="403"/>
      <c r="D415" s="24">
        <v>2012</v>
      </c>
      <c r="E415" s="25">
        <v>250</v>
      </c>
      <c r="F415" s="26">
        <v>3</v>
      </c>
      <c r="G415" s="25">
        <v>1.07</v>
      </c>
      <c r="H415" s="25">
        <v>1945.3</v>
      </c>
      <c r="I415" s="48">
        <v>0.922</v>
      </c>
      <c r="J415" s="48"/>
      <c r="K415" s="48"/>
      <c r="L415" s="48"/>
      <c r="M415" s="48"/>
      <c r="N415" s="48"/>
    </row>
    <row r="416" spans="1:14" ht="12.75" customHeight="1">
      <c r="A416" s="417"/>
      <c r="B416" s="439"/>
      <c r="C416" s="403"/>
      <c r="D416" s="24">
        <v>2013</v>
      </c>
      <c r="E416" s="25">
        <v>250</v>
      </c>
      <c r="F416" s="26">
        <v>3</v>
      </c>
      <c r="G416" s="25">
        <v>1.07</v>
      </c>
      <c r="H416" s="25">
        <v>1945.3</v>
      </c>
      <c r="I416" s="48">
        <v>0.922</v>
      </c>
      <c r="J416" s="48"/>
      <c r="K416" s="48"/>
      <c r="L416" s="48"/>
      <c r="M416" s="48"/>
      <c r="N416" s="48"/>
    </row>
    <row r="417" spans="1:14" ht="12.75" customHeight="1">
      <c r="A417" s="417"/>
      <c r="B417" s="439"/>
      <c r="C417" s="403"/>
      <c r="D417" s="24">
        <v>2014</v>
      </c>
      <c r="E417" s="25">
        <v>250</v>
      </c>
      <c r="F417" s="26">
        <v>3</v>
      </c>
      <c r="G417" s="25">
        <v>1.07</v>
      </c>
      <c r="H417" s="25">
        <v>1945.3</v>
      </c>
      <c r="I417" s="48">
        <v>0.922</v>
      </c>
      <c r="J417" s="48"/>
      <c r="K417" s="48"/>
      <c r="L417" s="48"/>
      <c r="M417" s="48"/>
      <c r="N417" s="48"/>
    </row>
    <row r="418" spans="1:14" ht="12.75" customHeight="1">
      <c r="A418" s="417"/>
      <c r="B418" s="439"/>
      <c r="C418" s="403"/>
      <c r="D418" s="24">
        <v>2015</v>
      </c>
      <c r="E418" s="25">
        <v>250</v>
      </c>
      <c r="F418" s="26">
        <v>3</v>
      </c>
      <c r="G418" s="25">
        <v>1.14</v>
      </c>
      <c r="H418" s="25">
        <v>2072.5</v>
      </c>
      <c r="I418" s="48">
        <v>0.983</v>
      </c>
      <c r="J418" s="48"/>
      <c r="K418" s="48"/>
      <c r="L418" s="48"/>
      <c r="M418" s="48"/>
      <c r="N418" s="48"/>
    </row>
    <row r="419" spans="1:14" ht="43.5" customHeight="1">
      <c r="A419" s="41">
        <v>54</v>
      </c>
      <c r="B419" s="45" t="s">
        <v>185</v>
      </c>
      <c r="C419" s="56" t="s">
        <v>293</v>
      </c>
      <c r="D419" s="56">
        <v>2011</v>
      </c>
      <c r="E419" s="25">
        <v>230</v>
      </c>
      <c r="F419" s="26">
        <v>3</v>
      </c>
      <c r="G419" s="25">
        <v>0.16</v>
      </c>
      <c r="H419" s="25">
        <v>308</v>
      </c>
      <c r="I419" s="48">
        <v>0.14</v>
      </c>
      <c r="J419" s="48"/>
      <c r="K419" s="48"/>
      <c r="L419" s="48"/>
      <c r="M419" s="48"/>
      <c r="N419" s="48"/>
    </row>
    <row r="420" spans="1:14" ht="45.75" customHeight="1">
      <c r="A420" s="41">
        <v>55</v>
      </c>
      <c r="B420" s="45" t="s">
        <v>186</v>
      </c>
      <c r="C420" s="56" t="s">
        <v>293</v>
      </c>
      <c r="D420" s="56">
        <v>2011</v>
      </c>
      <c r="E420" s="25">
        <v>250</v>
      </c>
      <c r="F420" s="26">
        <v>3</v>
      </c>
      <c r="G420" s="25">
        <v>0.07</v>
      </c>
      <c r="H420" s="25">
        <v>80.2</v>
      </c>
      <c r="I420" s="48"/>
      <c r="J420" s="48"/>
      <c r="K420" s="48"/>
      <c r="L420" s="48">
        <v>0.19</v>
      </c>
      <c r="M420" s="48"/>
      <c r="N420" s="48"/>
    </row>
    <row r="421" spans="1:14" ht="24.75" customHeight="1">
      <c r="A421" s="417">
        <v>56</v>
      </c>
      <c r="B421" s="439" t="s">
        <v>187</v>
      </c>
      <c r="C421" s="56" t="s">
        <v>293</v>
      </c>
      <c r="D421" s="56">
        <v>2013</v>
      </c>
      <c r="E421" s="25">
        <v>800</v>
      </c>
      <c r="F421" s="26">
        <v>3</v>
      </c>
      <c r="G421" s="25">
        <v>0.84</v>
      </c>
      <c r="H421" s="25">
        <v>1860</v>
      </c>
      <c r="I421" s="48">
        <v>0.72</v>
      </c>
      <c r="J421" s="48"/>
      <c r="K421" s="48"/>
      <c r="L421" s="48"/>
      <c r="M421" s="48"/>
      <c r="N421" s="48"/>
    </row>
    <row r="422" spans="1:14" ht="21.75" customHeight="1">
      <c r="A422" s="417"/>
      <c r="B422" s="439"/>
      <c r="C422" s="403" t="s">
        <v>295</v>
      </c>
      <c r="D422" s="24" t="s">
        <v>450</v>
      </c>
      <c r="E422" s="25">
        <f>SUM(E423:E427)</f>
        <v>760</v>
      </c>
      <c r="F422" s="26">
        <v>3</v>
      </c>
      <c r="G422" s="25">
        <f>SUM(G423:G427)</f>
        <v>0.2</v>
      </c>
      <c r="H422" s="25">
        <f>SUM(H423:H427)</f>
        <v>338</v>
      </c>
      <c r="I422" s="48">
        <f>SUM(I423:I427)</f>
        <v>0.165</v>
      </c>
      <c r="J422" s="48"/>
      <c r="K422" s="48"/>
      <c r="L422" s="48"/>
      <c r="M422" s="48"/>
      <c r="N422" s="48"/>
    </row>
    <row r="423" spans="1:14" ht="12.75" customHeight="1">
      <c r="A423" s="417"/>
      <c r="B423" s="439"/>
      <c r="C423" s="403"/>
      <c r="D423" s="24">
        <v>2011</v>
      </c>
      <c r="E423" s="25">
        <v>760</v>
      </c>
      <c r="F423" s="26">
        <v>3</v>
      </c>
      <c r="G423" s="25">
        <v>0.04</v>
      </c>
      <c r="H423" s="25">
        <v>67.6</v>
      </c>
      <c r="I423" s="48">
        <v>0.033</v>
      </c>
      <c r="J423" s="48"/>
      <c r="K423" s="48"/>
      <c r="L423" s="48"/>
      <c r="M423" s="48"/>
      <c r="N423" s="48"/>
    </row>
    <row r="424" spans="1:14" ht="12.75" customHeight="1">
      <c r="A424" s="417"/>
      <c r="B424" s="439"/>
      <c r="C424" s="403"/>
      <c r="D424" s="24">
        <v>2012</v>
      </c>
      <c r="E424" s="25"/>
      <c r="F424" s="26"/>
      <c r="G424" s="25">
        <v>0.04</v>
      </c>
      <c r="H424" s="25">
        <v>67.6</v>
      </c>
      <c r="I424" s="48">
        <v>0.033</v>
      </c>
      <c r="J424" s="48"/>
      <c r="K424" s="48"/>
      <c r="L424" s="48"/>
      <c r="M424" s="48"/>
      <c r="N424" s="48"/>
    </row>
    <row r="425" spans="1:14" ht="12.75" customHeight="1">
      <c r="A425" s="417"/>
      <c r="B425" s="439"/>
      <c r="C425" s="403"/>
      <c r="D425" s="24">
        <v>2013</v>
      </c>
      <c r="E425" s="25"/>
      <c r="F425" s="26"/>
      <c r="G425" s="25">
        <v>0.04</v>
      </c>
      <c r="H425" s="25">
        <v>67.6</v>
      </c>
      <c r="I425" s="48">
        <v>0.033</v>
      </c>
      <c r="J425" s="48"/>
      <c r="K425" s="48"/>
      <c r="L425" s="48"/>
      <c r="M425" s="48"/>
      <c r="N425" s="48"/>
    </row>
    <row r="426" spans="1:14" ht="12.75" customHeight="1">
      <c r="A426" s="417"/>
      <c r="B426" s="439"/>
      <c r="C426" s="403"/>
      <c r="D426" s="24">
        <v>2014</v>
      </c>
      <c r="E426" s="25"/>
      <c r="F426" s="26"/>
      <c r="G426" s="25">
        <v>0.04</v>
      </c>
      <c r="H426" s="25">
        <v>67.6</v>
      </c>
      <c r="I426" s="48">
        <v>0.033</v>
      </c>
      <c r="J426" s="48"/>
      <c r="K426" s="48"/>
      <c r="L426" s="48"/>
      <c r="M426" s="48"/>
      <c r="N426" s="48"/>
    </row>
    <row r="427" spans="1:14" ht="12.75" customHeight="1">
      <c r="A427" s="417"/>
      <c r="B427" s="439"/>
      <c r="C427" s="403"/>
      <c r="D427" s="24">
        <v>2015</v>
      </c>
      <c r="E427" s="25"/>
      <c r="F427" s="26"/>
      <c r="G427" s="25">
        <v>0.04</v>
      </c>
      <c r="H427" s="25">
        <v>67.6</v>
      </c>
      <c r="I427" s="48">
        <v>0.033</v>
      </c>
      <c r="J427" s="48"/>
      <c r="K427" s="48"/>
      <c r="L427" s="48"/>
      <c r="M427" s="48"/>
      <c r="N427" s="48"/>
    </row>
    <row r="428" spans="1:14" ht="21.75" customHeight="1">
      <c r="A428" s="417">
        <v>57</v>
      </c>
      <c r="B428" s="439" t="s">
        <v>188</v>
      </c>
      <c r="C428" s="24" t="s">
        <v>296</v>
      </c>
      <c r="D428" s="56">
        <v>2011</v>
      </c>
      <c r="E428" s="25">
        <v>880</v>
      </c>
      <c r="F428" s="26">
        <v>3</v>
      </c>
      <c r="G428" s="25"/>
      <c r="H428" s="25"/>
      <c r="I428" s="48"/>
      <c r="J428" s="48"/>
      <c r="K428" s="48"/>
      <c r="L428" s="48"/>
      <c r="M428" s="48"/>
      <c r="N428" s="48"/>
    </row>
    <row r="429" spans="1:14" ht="23.25" customHeight="1">
      <c r="A429" s="417"/>
      <c r="B429" s="439"/>
      <c r="C429" s="24" t="s">
        <v>293</v>
      </c>
      <c r="D429" s="56">
        <v>2014</v>
      </c>
      <c r="E429" s="25">
        <v>250</v>
      </c>
      <c r="F429" s="26">
        <v>3</v>
      </c>
      <c r="G429" s="25">
        <v>0.28</v>
      </c>
      <c r="H429" s="25">
        <v>338</v>
      </c>
      <c r="I429" s="48"/>
      <c r="J429" s="48"/>
      <c r="K429" s="48"/>
      <c r="L429" s="48">
        <v>0.8</v>
      </c>
      <c r="M429" s="48"/>
      <c r="N429" s="48"/>
    </row>
    <row r="430" spans="1:14" ht="44.25" customHeight="1">
      <c r="A430" s="41">
        <v>58</v>
      </c>
      <c r="B430" s="45" t="s">
        <v>189</v>
      </c>
      <c r="C430" s="24" t="s">
        <v>293</v>
      </c>
      <c r="D430" s="56">
        <v>2015</v>
      </c>
      <c r="E430" s="25">
        <v>450</v>
      </c>
      <c r="F430" s="26">
        <v>3</v>
      </c>
      <c r="G430" s="25">
        <v>0.7</v>
      </c>
      <c r="H430" s="25">
        <v>1236</v>
      </c>
      <c r="I430" s="48">
        <v>0.6</v>
      </c>
      <c r="J430" s="48"/>
      <c r="K430" s="48"/>
      <c r="L430" s="48"/>
      <c r="M430" s="48"/>
      <c r="N430" s="48"/>
    </row>
    <row r="431" spans="1:14" ht="21" customHeight="1">
      <c r="A431" s="417">
        <v>59</v>
      </c>
      <c r="B431" s="439" t="s">
        <v>294</v>
      </c>
      <c r="C431" s="403" t="s">
        <v>295</v>
      </c>
      <c r="D431" s="24" t="s">
        <v>444</v>
      </c>
      <c r="E431" s="25">
        <f>SUM(E432:E436)</f>
        <v>600</v>
      </c>
      <c r="F431" s="26">
        <v>3</v>
      </c>
      <c r="G431" s="25">
        <f>SUM(G432:G436)</f>
        <v>0.05</v>
      </c>
      <c r="H431" s="25">
        <f>SUM(H432:H436)</f>
        <v>112.9</v>
      </c>
      <c r="I431" s="48">
        <f>SUM(I432:I436)</f>
        <v>0.05499999999999999</v>
      </c>
      <c r="J431" s="48"/>
      <c r="K431" s="48"/>
      <c r="L431" s="48"/>
      <c r="M431" s="48"/>
      <c r="N431" s="48"/>
    </row>
    <row r="432" spans="1:14" ht="11.25" customHeight="1">
      <c r="A432" s="417"/>
      <c r="B432" s="439"/>
      <c r="C432" s="403"/>
      <c r="D432" s="24">
        <v>2011</v>
      </c>
      <c r="E432" s="25">
        <v>300</v>
      </c>
      <c r="F432" s="26">
        <v>3</v>
      </c>
      <c r="G432" s="25">
        <v>0.01</v>
      </c>
      <c r="H432" s="25">
        <v>14.1</v>
      </c>
      <c r="I432" s="48">
        <v>0.007</v>
      </c>
      <c r="J432" s="48"/>
      <c r="K432" s="48"/>
      <c r="L432" s="48"/>
      <c r="M432" s="48"/>
      <c r="N432" s="48"/>
    </row>
    <row r="433" spans="1:14" ht="11.25" customHeight="1">
      <c r="A433" s="417"/>
      <c r="B433" s="439"/>
      <c r="C433" s="403"/>
      <c r="D433" s="24">
        <v>2012</v>
      </c>
      <c r="E433" s="25">
        <v>300</v>
      </c>
      <c r="F433" s="26">
        <v>3</v>
      </c>
      <c r="G433" s="25">
        <v>0.01</v>
      </c>
      <c r="H433" s="25">
        <v>24.7</v>
      </c>
      <c r="I433" s="48">
        <v>0.012</v>
      </c>
      <c r="J433" s="48"/>
      <c r="K433" s="48"/>
      <c r="L433" s="48"/>
      <c r="M433" s="48"/>
      <c r="N433" s="48"/>
    </row>
    <row r="434" spans="1:14" ht="12" customHeight="1">
      <c r="A434" s="417"/>
      <c r="B434" s="439"/>
      <c r="C434" s="403"/>
      <c r="D434" s="24">
        <v>2013</v>
      </c>
      <c r="E434" s="25"/>
      <c r="F434" s="26"/>
      <c r="G434" s="25">
        <v>0.01</v>
      </c>
      <c r="H434" s="25">
        <v>24.7</v>
      </c>
      <c r="I434" s="48">
        <v>0.012</v>
      </c>
      <c r="J434" s="48"/>
      <c r="K434" s="48"/>
      <c r="L434" s="48"/>
      <c r="M434" s="48"/>
      <c r="N434" s="48"/>
    </row>
    <row r="435" spans="1:14" ht="11.25" customHeight="1">
      <c r="A435" s="417"/>
      <c r="B435" s="439"/>
      <c r="C435" s="403"/>
      <c r="D435" s="24">
        <v>2014</v>
      </c>
      <c r="E435" s="25"/>
      <c r="F435" s="26"/>
      <c r="G435" s="25">
        <v>0.01</v>
      </c>
      <c r="H435" s="25">
        <v>24.7</v>
      </c>
      <c r="I435" s="48">
        <v>0.012</v>
      </c>
      <c r="J435" s="48"/>
      <c r="K435" s="48"/>
      <c r="L435" s="48"/>
      <c r="M435" s="48"/>
      <c r="N435" s="48"/>
    </row>
    <row r="436" spans="1:14" ht="11.25" customHeight="1">
      <c r="A436" s="417"/>
      <c r="B436" s="439"/>
      <c r="C436" s="403"/>
      <c r="D436" s="24">
        <v>2015</v>
      </c>
      <c r="E436" s="25"/>
      <c r="F436" s="26"/>
      <c r="G436" s="25">
        <v>0.01</v>
      </c>
      <c r="H436" s="25">
        <v>24.7</v>
      </c>
      <c r="I436" s="48">
        <v>0.012</v>
      </c>
      <c r="J436" s="48"/>
      <c r="K436" s="48"/>
      <c r="L436" s="48"/>
      <c r="M436" s="48"/>
      <c r="N436" s="48"/>
    </row>
    <row r="437" spans="1:14" ht="33" customHeight="1">
      <c r="A437" s="41">
        <v>60</v>
      </c>
      <c r="B437" s="45" t="s">
        <v>361</v>
      </c>
      <c r="C437" s="24" t="s">
        <v>296</v>
      </c>
      <c r="D437" s="56">
        <v>2011</v>
      </c>
      <c r="E437" s="25">
        <v>80</v>
      </c>
      <c r="F437" s="26">
        <v>3</v>
      </c>
      <c r="G437" s="25">
        <v>0.15</v>
      </c>
      <c r="H437" s="25">
        <v>345.7</v>
      </c>
      <c r="I437" s="48">
        <v>0.132</v>
      </c>
      <c r="J437" s="48"/>
      <c r="K437" s="48"/>
      <c r="L437" s="48"/>
      <c r="M437" s="48"/>
      <c r="N437" s="48"/>
    </row>
    <row r="438" spans="1:14" ht="22.5" customHeight="1">
      <c r="A438" s="41">
        <v>61</v>
      </c>
      <c r="B438" s="45" t="s">
        <v>190</v>
      </c>
      <c r="C438" s="24" t="s">
        <v>296</v>
      </c>
      <c r="D438" s="56">
        <v>2013</v>
      </c>
      <c r="E438" s="25">
        <v>819.2</v>
      </c>
      <c r="F438" s="26">
        <v>3</v>
      </c>
      <c r="G438" s="25">
        <v>0.56</v>
      </c>
      <c r="H438" s="25">
        <v>1070.5</v>
      </c>
      <c r="I438" s="48"/>
      <c r="J438" s="48"/>
      <c r="K438" s="48"/>
      <c r="L438" s="48">
        <v>1.593</v>
      </c>
      <c r="M438" s="48"/>
      <c r="N438" s="48"/>
    </row>
    <row r="439" spans="1:14" ht="29.25" customHeight="1">
      <c r="A439" s="41">
        <v>62</v>
      </c>
      <c r="B439" s="45" t="s">
        <v>191</v>
      </c>
      <c r="C439" s="24" t="s">
        <v>297</v>
      </c>
      <c r="D439" s="56">
        <v>2011</v>
      </c>
      <c r="E439" s="25">
        <v>2700</v>
      </c>
      <c r="F439" s="26">
        <v>3</v>
      </c>
      <c r="G439" s="25">
        <v>0.96</v>
      </c>
      <c r="H439" s="25">
        <v>478.2</v>
      </c>
      <c r="I439" s="48"/>
      <c r="J439" s="48"/>
      <c r="K439" s="48"/>
      <c r="L439" s="48">
        <v>0.44</v>
      </c>
      <c r="M439" s="48">
        <v>5.8</v>
      </c>
      <c r="N439" s="48"/>
    </row>
    <row r="440" spans="1:14" ht="21" customHeight="1">
      <c r="A440" s="417">
        <v>63</v>
      </c>
      <c r="B440" s="439" t="s">
        <v>192</v>
      </c>
      <c r="C440" s="403" t="s">
        <v>297</v>
      </c>
      <c r="D440" s="24" t="s">
        <v>449</v>
      </c>
      <c r="E440" s="25">
        <f>E441+E442+E443</f>
        <v>3200</v>
      </c>
      <c r="F440" s="26">
        <v>3</v>
      </c>
      <c r="G440" s="25">
        <f>G441+G442+G443</f>
        <v>2.8499999999999996</v>
      </c>
      <c r="H440" s="25">
        <f>H441+H442+H443</f>
        <v>1399.1999999999998</v>
      </c>
      <c r="I440" s="48"/>
      <c r="J440" s="48"/>
      <c r="K440" s="48"/>
      <c r="L440" s="48">
        <f>L441+L442+L443</f>
        <v>1.2000000000000002</v>
      </c>
      <c r="M440" s="48">
        <f>M441+M442+M443</f>
        <v>17.1</v>
      </c>
      <c r="N440" s="48"/>
    </row>
    <row r="441" spans="1:14" ht="12.75" customHeight="1">
      <c r="A441" s="417"/>
      <c r="B441" s="439"/>
      <c r="C441" s="403"/>
      <c r="D441" s="24">
        <v>2012</v>
      </c>
      <c r="E441" s="25">
        <v>1000</v>
      </c>
      <c r="F441" s="26">
        <v>3</v>
      </c>
      <c r="G441" s="25">
        <v>0.95</v>
      </c>
      <c r="H441" s="25">
        <v>466.4</v>
      </c>
      <c r="I441" s="48"/>
      <c r="J441" s="48"/>
      <c r="K441" s="48"/>
      <c r="L441" s="48">
        <v>0.4</v>
      </c>
      <c r="M441" s="48">
        <v>5.7</v>
      </c>
      <c r="N441" s="48"/>
    </row>
    <row r="442" spans="1:14" ht="12.75" customHeight="1">
      <c r="A442" s="417"/>
      <c r="B442" s="439"/>
      <c r="C442" s="403"/>
      <c r="D442" s="24">
        <v>2014</v>
      </c>
      <c r="E442" s="25">
        <v>1100</v>
      </c>
      <c r="F442" s="26">
        <v>3</v>
      </c>
      <c r="G442" s="25">
        <v>0.95</v>
      </c>
      <c r="H442" s="25">
        <v>466.4</v>
      </c>
      <c r="I442" s="48"/>
      <c r="J442" s="48"/>
      <c r="K442" s="48"/>
      <c r="L442" s="48">
        <v>0.4</v>
      </c>
      <c r="M442" s="48">
        <v>5.7</v>
      </c>
      <c r="N442" s="48"/>
    </row>
    <row r="443" spans="1:14" ht="12.75" customHeight="1">
      <c r="A443" s="417"/>
      <c r="B443" s="439"/>
      <c r="C443" s="403"/>
      <c r="D443" s="24">
        <v>2015</v>
      </c>
      <c r="E443" s="25">
        <v>1100</v>
      </c>
      <c r="F443" s="26">
        <v>3</v>
      </c>
      <c r="G443" s="25">
        <v>0.95</v>
      </c>
      <c r="H443" s="25">
        <v>466.4</v>
      </c>
      <c r="I443" s="48"/>
      <c r="J443" s="48"/>
      <c r="K443" s="48"/>
      <c r="L443" s="48">
        <v>0.4</v>
      </c>
      <c r="M443" s="48">
        <v>5.7</v>
      </c>
      <c r="N443" s="48"/>
    </row>
    <row r="444" spans="1:14" ht="21.75" customHeight="1">
      <c r="A444" s="41">
        <v>64</v>
      </c>
      <c r="B444" s="45" t="s">
        <v>298</v>
      </c>
      <c r="C444" s="24" t="s">
        <v>297</v>
      </c>
      <c r="D444" s="56">
        <v>2011</v>
      </c>
      <c r="E444" s="25">
        <v>2200</v>
      </c>
      <c r="F444" s="26">
        <v>3</v>
      </c>
      <c r="G444" s="25">
        <v>0.1</v>
      </c>
      <c r="H444" s="25">
        <v>126.6</v>
      </c>
      <c r="I444" s="48"/>
      <c r="J444" s="48"/>
      <c r="K444" s="48"/>
      <c r="L444" s="48">
        <v>0.3</v>
      </c>
      <c r="M444" s="48"/>
      <c r="N444" s="48"/>
    </row>
    <row r="445" spans="1:14" ht="32.25" customHeight="1">
      <c r="A445" s="41">
        <v>65</v>
      </c>
      <c r="B445" s="45" t="s">
        <v>193</v>
      </c>
      <c r="C445" s="24" t="s">
        <v>297</v>
      </c>
      <c r="D445" s="56">
        <v>2013</v>
      </c>
      <c r="E445" s="25">
        <v>900</v>
      </c>
      <c r="F445" s="26">
        <v>3</v>
      </c>
      <c r="G445" s="25">
        <v>0.8</v>
      </c>
      <c r="H445" s="25">
        <v>932</v>
      </c>
      <c r="I445" s="48"/>
      <c r="J445" s="48"/>
      <c r="K445" s="48"/>
      <c r="L445" s="48">
        <v>2.2</v>
      </c>
      <c r="M445" s="48"/>
      <c r="N445" s="48"/>
    </row>
    <row r="446" spans="1:14" ht="21.75" customHeight="1">
      <c r="A446" s="411">
        <v>66</v>
      </c>
      <c r="B446" s="404" t="s">
        <v>194</v>
      </c>
      <c r="C446" s="403" t="s">
        <v>299</v>
      </c>
      <c r="D446" s="24" t="s">
        <v>444</v>
      </c>
      <c r="E446" s="25">
        <f>SUM(E447:E451)</f>
        <v>1120</v>
      </c>
      <c r="F446" s="26">
        <v>3</v>
      </c>
      <c r="G446" s="25">
        <f>SUM(G447:G451)</f>
        <v>1.448</v>
      </c>
      <c r="H446" s="25">
        <f>SUM(H447:H451)</f>
        <v>2258.6000000000004</v>
      </c>
      <c r="I446" s="48"/>
      <c r="J446" s="48"/>
      <c r="K446" s="48"/>
      <c r="L446" s="48">
        <f>SUM(L447:L451)</f>
        <v>4.175</v>
      </c>
      <c r="M446" s="48"/>
      <c r="N446" s="48"/>
    </row>
    <row r="447" spans="1:14" ht="12.75" customHeight="1">
      <c r="A447" s="412"/>
      <c r="B447" s="405"/>
      <c r="C447" s="403"/>
      <c r="D447" s="24">
        <v>2011</v>
      </c>
      <c r="E447" s="25">
        <v>224</v>
      </c>
      <c r="F447" s="26">
        <v>3</v>
      </c>
      <c r="G447" s="47">
        <v>0.288</v>
      </c>
      <c r="H447" s="25">
        <v>451.72</v>
      </c>
      <c r="I447" s="48"/>
      <c r="J447" s="48"/>
      <c r="K447" s="48"/>
      <c r="L447" s="48">
        <v>0.835</v>
      </c>
      <c r="M447" s="48"/>
      <c r="N447" s="48"/>
    </row>
    <row r="448" spans="1:14" ht="12.75" customHeight="1">
      <c r="A448" s="412"/>
      <c r="B448" s="405"/>
      <c r="C448" s="403"/>
      <c r="D448" s="24">
        <v>2012</v>
      </c>
      <c r="E448" s="25">
        <v>224</v>
      </c>
      <c r="F448" s="26">
        <v>3</v>
      </c>
      <c r="G448" s="47">
        <v>0.29</v>
      </c>
      <c r="H448" s="25">
        <v>451.72</v>
      </c>
      <c r="I448" s="48"/>
      <c r="J448" s="48"/>
      <c r="K448" s="48"/>
      <c r="L448" s="48">
        <v>0.835</v>
      </c>
      <c r="M448" s="48"/>
      <c r="N448" s="48"/>
    </row>
    <row r="449" spans="1:14" ht="12.75" customHeight="1">
      <c r="A449" s="412"/>
      <c r="B449" s="405"/>
      <c r="C449" s="403"/>
      <c r="D449" s="24">
        <v>2013</v>
      </c>
      <c r="E449" s="25">
        <v>224</v>
      </c>
      <c r="F449" s="26">
        <v>3</v>
      </c>
      <c r="G449" s="47">
        <v>0.29</v>
      </c>
      <c r="H449" s="25">
        <v>451.72</v>
      </c>
      <c r="I449" s="48"/>
      <c r="J449" s="48"/>
      <c r="K449" s="48"/>
      <c r="L449" s="48">
        <v>0.835</v>
      </c>
      <c r="M449" s="48"/>
      <c r="N449" s="48"/>
    </row>
    <row r="450" spans="1:14" ht="12.75" customHeight="1">
      <c r="A450" s="412"/>
      <c r="B450" s="405"/>
      <c r="C450" s="403"/>
      <c r="D450" s="24">
        <v>2014</v>
      </c>
      <c r="E450" s="25">
        <v>224</v>
      </c>
      <c r="F450" s="26">
        <v>3</v>
      </c>
      <c r="G450" s="47">
        <v>0.29</v>
      </c>
      <c r="H450" s="25">
        <v>451.72</v>
      </c>
      <c r="I450" s="48"/>
      <c r="J450" s="48"/>
      <c r="K450" s="48"/>
      <c r="L450" s="48">
        <v>0.835</v>
      </c>
      <c r="M450" s="48"/>
      <c r="N450" s="48"/>
    </row>
    <row r="451" spans="1:14" ht="12.75" customHeight="1">
      <c r="A451" s="412"/>
      <c r="B451" s="405"/>
      <c r="C451" s="403"/>
      <c r="D451" s="24">
        <v>2015</v>
      </c>
      <c r="E451" s="25">
        <v>224</v>
      </c>
      <c r="F451" s="26">
        <v>3</v>
      </c>
      <c r="G451" s="47">
        <v>0.29</v>
      </c>
      <c r="H451" s="25">
        <v>451.72</v>
      </c>
      <c r="I451" s="48"/>
      <c r="J451" s="48"/>
      <c r="K451" s="48"/>
      <c r="L451" s="48">
        <v>0.835</v>
      </c>
      <c r="M451" s="48"/>
      <c r="N451" s="48"/>
    </row>
    <row r="452" spans="1:14" ht="21" customHeight="1">
      <c r="A452" s="412"/>
      <c r="B452" s="405"/>
      <c r="C452" s="403" t="s">
        <v>362</v>
      </c>
      <c r="D452" s="24" t="s">
        <v>448</v>
      </c>
      <c r="E452" s="25">
        <f>SUM(E453:E454)</f>
        <v>900.4300000000001</v>
      </c>
      <c r="F452" s="26">
        <v>3</v>
      </c>
      <c r="G452" s="25">
        <f>G453+G454</f>
        <v>0.15000000000000002</v>
      </c>
      <c r="H452" s="25">
        <f>H453+H454</f>
        <v>229.692</v>
      </c>
      <c r="I452" s="48"/>
      <c r="J452" s="48"/>
      <c r="K452" s="48"/>
      <c r="L452" s="48">
        <f>L453+L454</f>
        <v>0.44</v>
      </c>
      <c r="M452" s="48"/>
      <c r="N452" s="48"/>
    </row>
    <row r="453" spans="1:14" ht="12.75" customHeight="1">
      <c r="A453" s="412"/>
      <c r="B453" s="405"/>
      <c r="C453" s="403"/>
      <c r="D453" s="24">
        <v>2012</v>
      </c>
      <c r="E453" s="25">
        <v>350.23</v>
      </c>
      <c r="F453" s="26">
        <v>3</v>
      </c>
      <c r="G453" s="25">
        <v>0.05</v>
      </c>
      <c r="H453" s="25">
        <v>76.692</v>
      </c>
      <c r="I453" s="48"/>
      <c r="J453" s="48"/>
      <c r="K453" s="48"/>
      <c r="L453" s="48">
        <v>0.14</v>
      </c>
      <c r="M453" s="48"/>
      <c r="N453" s="48"/>
    </row>
    <row r="454" spans="1:14" ht="12.75" customHeight="1">
      <c r="A454" s="419"/>
      <c r="B454" s="406"/>
      <c r="C454" s="351"/>
      <c r="D454" s="24">
        <v>2015</v>
      </c>
      <c r="E454" s="25">
        <v>550.2</v>
      </c>
      <c r="F454" s="26">
        <v>3</v>
      </c>
      <c r="G454" s="25">
        <v>0.1</v>
      </c>
      <c r="H454" s="25">
        <v>153</v>
      </c>
      <c r="I454" s="48"/>
      <c r="J454" s="48"/>
      <c r="K454" s="48"/>
      <c r="L454" s="48">
        <v>0.3</v>
      </c>
      <c r="M454" s="48"/>
      <c r="N454" s="48"/>
    </row>
    <row r="455" spans="1:14" ht="22.5" customHeight="1">
      <c r="A455" s="417">
        <v>67</v>
      </c>
      <c r="B455" s="439" t="s">
        <v>195</v>
      </c>
      <c r="C455" s="403" t="s">
        <v>299</v>
      </c>
      <c r="D455" s="24" t="s">
        <v>444</v>
      </c>
      <c r="E455" s="25">
        <f>SUM(E456:E460)</f>
        <v>25</v>
      </c>
      <c r="F455" s="26">
        <v>3</v>
      </c>
      <c r="G455" s="25">
        <f>SUM(G456:G460)</f>
        <v>2.858</v>
      </c>
      <c r="H455" s="25">
        <f>SUM(H456:H460)</f>
        <v>2238.5</v>
      </c>
      <c r="I455" s="48"/>
      <c r="J455" s="48"/>
      <c r="K455" s="48"/>
      <c r="L455" s="48">
        <f>SUM(L456:L460)</f>
        <v>20</v>
      </c>
      <c r="M455" s="48"/>
      <c r="N455" s="48"/>
    </row>
    <row r="456" spans="1:14" ht="12" customHeight="1">
      <c r="A456" s="417"/>
      <c r="B456" s="439"/>
      <c r="C456" s="403"/>
      <c r="D456" s="24">
        <v>2011</v>
      </c>
      <c r="E456" s="25">
        <v>5</v>
      </c>
      <c r="F456" s="26">
        <v>3</v>
      </c>
      <c r="G456" s="25">
        <v>0.572</v>
      </c>
      <c r="H456" s="25">
        <v>447.7</v>
      </c>
      <c r="I456" s="48"/>
      <c r="J456" s="48"/>
      <c r="K456" s="48"/>
      <c r="L456" s="48">
        <v>4</v>
      </c>
      <c r="M456" s="48"/>
      <c r="N456" s="48"/>
    </row>
    <row r="457" spans="1:14" ht="12" customHeight="1">
      <c r="A457" s="417"/>
      <c r="B457" s="439"/>
      <c r="C457" s="403"/>
      <c r="D457" s="24">
        <v>2012</v>
      </c>
      <c r="E457" s="25">
        <v>5</v>
      </c>
      <c r="F457" s="26">
        <v>3</v>
      </c>
      <c r="G457" s="25">
        <v>0.57</v>
      </c>
      <c r="H457" s="25">
        <v>447.7</v>
      </c>
      <c r="I457" s="48"/>
      <c r="J457" s="48"/>
      <c r="K457" s="48"/>
      <c r="L457" s="48">
        <v>4</v>
      </c>
      <c r="M457" s="48"/>
      <c r="N457" s="48"/>
    </row>
    <row r="458" spans="1:14" ht="12" customHeight="1">
      <c r="A458" s="417"/>
      <c r="B458" s="439"/>
      <c r="C458" s="403"/>
      <c r="D458" s="24">
        <v>2013</v>
      </c>
      <c r="E458" s="25">
        <v>5</v>
      </c>
      <c r="F458" s="26">
        <v>3</v>
      </c>
      <c r="G458" s="25">
        <v>0.572</v>
      </c>
      <c r="H458" s="25">
        <v>447.7</v>
      </c>
      <c r="I458" s="48"/>
      <c r="J458" s="48"/>
      <c r="K458" s="48"/>
      <c r="L458" s="48">
        <v>4</v>
      </c>
      <c r="M458" s="48"/>
      <c r="N458" s="48"/>
    </row>
    <row r="459" spans="1:14" ht="12" customHeight="1">
      <c r="A459" s="417"/>
      <c r="B459" s="439"/>
      <c r="C459" s="403"/>
      <c r="D459" s="24">
        <v>2014</v>
      </c>
      <c r="E459" s="25">
        <v>5</v>
      </c>
      <c r="F459" s="26">
        <v>3</v>
      </c>
      <c r="G459" s="25">
        <v>0.572</v>
      </c>
      <c r="H459" s="25">
        <v>447.7</v>
      </c>
      <c r="I459" s="48"/>
      <c r="J459" s="48"/>
      <c r="K459" s="48"/>
      <c r="L459" s="48">
        <v>4</v>
      </c>
      <c r="M459" s="48"/>
      <c r="N459" s="48"/>
    </row>
    <row r="460" spans="1:14" ht="12.75" customHeight="1">
      <c r="A460" s="417"/>
      <c r="B460" s="439"/>
      <c r="C460" s="403"/>
      <c r="D460" s="24">
        <v>2015</v>
      </c>
      <c r="E460" s="25">
        <v>5</v>
      </c>
      <c r="F460" s="26">
        <v>3</v>
      </c>
      <c r="G460" s="25">
        <v>0.572</v>
      </c>
      <c r="H460" s="25">
        <v>447.7</v>
      </c>
      <c r="I460" s="48"/>
      <c r="J460" s="48"/>
      <c r="K460" s="48"/>
      <c r="L460" s="48">
        <v>4</v>
      </c>
      <c r="M460" s="48"/>
      <c r="N460" s="48"/>
    </row>
    <row r="461" spans="1:14" ht="22.5" customHeight="1">
      <c r="A461" s="417"/>
      <c r="B461" s="439"/>
      <c r="C461" s="403" t="s">
        <v>32</v>
      </c>
      <c r="D461" s="24" t="s">
        <v>34</v>
      </c>
      <c r="E461" s="25">
        <f>E462+E463</f>
        <v>10173.599999999999</v>
      </c>
      <c r="F461" s="26">
        <v>3</v>
      </c>
      <c r="G461" s="25">
        <f>G462+G463</f>
        <v>0.117224</v>
      </c>
      <c r="H461" s="25">
        <f>H462+H463</f>
        <v>0.364</v>
      </c>
      <c r="I461" s="48">
        <f>I462+I463</f>
        <v>0.076</v>
      </c>
      <c r="J461" s="48"/>
      <c r="K461" s="48"/>
      <c r="L461" s="48">
        <f>L462+L463</f>
        <v>0.092</v>
      </c>
      <c r="M461" s="48"/>
      <c r="N461" s="48"/>
    </row>
    <row r="462" spans="1:14" ht="12.75" customHeight="1">
      <c r="A462" s="418"/>
      <c r="B462" s="465"/>
      <c r="C462" s="403"/>
      <c r="D462" s="24">
        <v>2013</v>
      </c>
      <c r="E462" s="25">
        <v>3391.2</v>
      </c>
      <c r="F462" s="26">
        <v>3</v>
      </c>
      <c r="G462" s="25">
        <f>L462*0.325+I462*1.149</f>
        <v>0.058612</v>
      </c>
      <c r="H462" s="25">
        <v>0.182</v>
      </c>
      <c r="I462" s="48">
        <v>0.038</v>
      </c>
      <c r="J462" s="48"/>
      <c r="K462" s="48"/>
      <c r="L462" s="48">
        <v>0.046</v>
      </c>
      <c r="M462" s="48"/>
      <c r="N462" s="48"/>
    </row>
    <row r="463" spans="1:14" ht="12.75" customHeight="1">
      <c r="A463" s="418"/>
      <c r="B463" s="465"/>
      <c r="C463" s="403"/>
      <c r="D463" s="24">
        <v>2014</v>
      </c>
      <c r="E463" s="25">
        <v>6782.4</v>
      </c>
      <c r="F463" s="26">
        <v>3</v>
      </c>
      <c r="G463" s="25">
        <f>L463*0.325+I463*1.149</f>
        <v>0.058612</v>
      </c>
      <c r="H463" s="25">
        <v>0.182</v>
      </c>
      <c r="I463" s="48">
        <v>0.038</v>
      </c>
      <c r="J463" s="48"/>
      <c r="K463" s="48"/>
      <c r="L463" s="48">
        <v>0.046</v>
      </c>
      <c r="M463" s="48"/>
      <c r="N463" s="48"/>
    </row>
    <row r="464" spans="1:14" ht="22.5" customHeight="1">
      <c r="A464" s="418"/>
      <c r="B464" s="465"/>
      <c r="C464" s="403" t="s">
        <v>362</v>
      </c>
      <c r="D464" s="24" t="s">
        <v>444</v>
      </c>
      <c r="E464" s="25">
        <f>SUM(E465:E469)</f>
        <v>598</v>
      </c>
      <c r="F464" s="26">
        <v>3</v>
      </c>
      <c r="G464" s="25">
        <f>SUM(G465:G469)</f>
        <v>0.44999999999999996</v>
      </c>
      <c r="H464" s="25">
        <f>SUM(H465:H469)</f>
        <v>278.8</v>
      </c>
      <c r="I464" s="48"/>
      <c r="J464" s="48"/>
      <c r="K464" s="48"/>
      <c r="L464" s="48">
        <f>SUM(L465:L469)</f>
        <v>0.125</v>
      </c>
      <c r="M464" s="48">
        <f>SUM(M465:M469)</f>
        <v>2.84</v>
      </c>
      <c r="N464" s="48"/>
    </row>
    <row r="465" spans="1:14" ht="12.75" customHeight="1">
      <c r="A465" s="418"/>
      <c r="B465" s="465"/>
      <c r="C465" s="403"/>
      <c r="D465" s="24">
        <v>2011</v>
      </c>
      <c r="E465" s="25">
        <v>119.6</v>
      </c>
      <c r="F465" s="26">
        <v>3</v>
      </c>
      <c r="G465" s="25">
        <v>0.09</v>
      </c>
      <c r="H465" s="25">
        <v>55.76</v>
      </c>
      <c r="I465" s="48"/>
      <c r="J465" s="48"/>
      <c r="K465" s="48"/>
      <c r="L465" s="48">
        <v>0.025</v>
      </c>
      <c r="M465" s="48">
        <v>0.568</v>
      </c>
      <c r="N465" s="48"/>
    </row>
    <row r="466" spans="1:14" ht="12.75" customHeight="1">
      <c r="A466" s="418"/>
      <c r="B466" s="465"/>
      <c r="C466" s="351"/>
      <c r="D466" s="24">
        <v>2012</v>
      </c>
      <c r="E466" s="25">
        <v>119.6</v>
      </c>
      <c r="F466" s="26">
        <v>3</v>
      </c>
      <c r="G466" s="25">
        <v>0.09</v>
      </c>
      <c r="H466" s="25">
        <v>55.76</v>
      </c>
      <c r="I466" s="48"/>
      <c r="J466" s="48"/>
      <c r="K466" s="48"/>
      <c r="L466" s="48">
        <v>0.025</v>
      </c>
      <c r="M466" s="48">
        <v>0.568</v>
      </c>
      <c r="N466" s="48"/>
    </row>
    <row r="467" spans="1:14" ht="12.75" customHeight="1">
      <c r="A467" s="418"/>
      <c r="B467" s="465"/>
      <c r="C467" s="351"/>
      <c r="D467" s="24">
        <v>2013</v>
      </c>
      <c r="E467" s="25">
        <v>119.6</v>
      </c>
      <c r="F467" s="26">
        <v>3</v>
      </c>
      <c r="G467" s="25">
        <v>0.09</v>
      </c>
      <c r="H467" s="25">
        <v>55.76</v>
      </c>
      <c r="I467" s="48"/>
      <c r="J467" s="48"/>
      <c r="K467" s="48"/>
      <c r="L467" s="48">
        <v>0.025</v>
      </c>
      <c r="M467" s="48">
        <v>0.568</v>
      </c>
      <c r="N467" s="48"/>
    </row>
    <row r="468" spans="1:14" ht="12.75" customHeight="1">
      <c r="A468" s="418"/>
      <c r="B468" s="465"/>
      <c r="C468" s="351"/>
      <c r="D468" s="24">
        <v>2014</v>
      </c>
      <c r="E468" s="25">
        <v>119.6</v>
      </c>
      <c r="F468" s="26">
        <v>3</v>
      </c>
      <c r="G468" s="25">
        <v>0.09</v>
      </c>
      <c r="H468" s="25">
        <v>55.76</v>
      </c>
      <c r="I468" s="48"/>
      <c r="J468" s="48"/>
      <c r="K468" s="48"/>
      <c r="L468" s="48">
        <v>0.025</v>
      </c>
      <c r="M468" s="48">
        <v>0.568</v>
      </c>
      <c r="N468" s="48"/>
    </row>
    <row r="469" spans="1:14" ht="12.75" customHeight="1">
      <c r="A469" s="418"/>
      <c r="B469" s="465"/>
      <c r="C469" s="351"/>
      <c r="D469" s="24">
        <v>2015</v>
      </c>
      <c r="E469" s="25">
        <v>119.6</v>
      </c>
      <c r="F469" s="26">
        <v>3</v>
      </c>
      <c r="G469" s="25">
        <v>0.09</v>
      </c>
      <c r="H469" s="25">
        <v>55.76</v>
      </c>
      <c r="I469" s="48"/>
      <c r="J469" s="48"/>
      <c r="K469" s="48"/>
      <c r="L469" s="48">
        <v>0.025</v>
      </c>
      <c r="M469" s="48">
        <v>0.568</v>
      </c>
      <c r="N469" s="48"/>
    </row>
    <row r="470" spans="1:14" ht="12.75" customHeight="1">
      <c r="A470" s="675" t="s">
        <v>330</v>
      </c>
      <c r="B470" s="433" t="s">
        <v>30</v>
      </c>
      <c r="C470" s="407" t="s">
        <v>31</v>
      </c>
      <c r="D470" s="689" t="s">
        <v>448</v>
      </c>
      <c r="E470" s="78">
        <f>E473+E476+E479</f>
        <v>337926</v>
      </c>
      <c r="F470" s="79">
        <v>3</v>
      </c>
      <c r="G470" s="686">
        <f>G479+G482</f>
        <v>42.69525</v>
      </c>
      <c r="H470" s="686">
        <f>H479+H482</f>
        <v>96452</v>
      </c>
      <c r="I470" s="561"/>
      <c r="J470" s="561"/>
      <c r="K470" s="561"/>
      <c r="L470" s="561">
        <f>L479+L482</f>
        <v>131.37</v>
      </c>
      <c r="M470" s="561"/>
      <c r="N470" s="561"/>
    </row>
    <row r="471" spans="1:14" ht="12.75" customHeight="1">
      <c r="A471" s="676"/>
      <c r="B471" s="434"/>
      <c r="C471" s="331"/>
      <c r="D471" s="694"/>
      <c r="E471" s="78">
        <f>E474+E477+E480</f>
        <v>675850</v>
      </c>
      <c r="F471" s="79">
        <v>4</v>
      </c>
      <c r="G471" s="687"/>
      <c r="H471" s="687"/>
      <c r="I471" s="562"/>
      <c r="J471" s="562"/>
      <c r="K471" s="562"/>
      <c r="L471" s="562"/>
      <c r="M471" s="562"/>
      <c r="N471" s="562"/>
    </row>
    <row r="472" spans="1:14" ht="12.75" customHeight="1">
      <c r="A472" s="676"/>
      <c r="B472" s="434"/>
      <c r="C472" s="331"/>
      <c r="D472" s="695"/>
      <c r="E472" s="78">
        <f>E470+E471</f>
        <v>1013776</v>
      </c>
      <c r="F472" s="79">
        <v>5</v>
      </c>
      <c r="G472" s="688"/>
      <c r="H472" s="688"/>
      <c r="I472" s="563"/>
      <c r="J472" s="563"/>
      <c r="K472" s="563"/>
      <c r="L472" s="563"/>
      <c r="M472" s="563"/>
      <c r="N472" s="563"/>
    </row>
    <row r="473" spans="1:14" ht="12.75" customHeight="1">
      <c r="A473" s="676"/>
      <c r="B473" s="434"/>
      <c r="C473" s="331"/>
      <c r="D473" s="689">
        <v>2012</v>
      </c>
      <c r="E473" s="78">
        <v>239163</v>
      </c>
      <c r="F473" s="79">
        <v>3</v>
      </c>
      <c r="G473" s="686"/>
      <c r="H473" s="686"/>
      <c r="I473" s="561"/>
      <c r="J473" s="561"/>
      <c r="K473" s="561"/>
      <c r="L473" s="561"/>
      <c r="M473" s="561"/>
      <c r="N473" s="561"/>
    </row>
    <row r="474" spans="1:14" ht="12.75" customHeight="1">
      <c r="A474" s="676"/>
      <c r="B474" s="434"/>
      <c r="C474" s="331"/>
      <c r="D474" s="690"/>
      <c r="E474" s="78">
        <v>478325</v>
      </c>
      <c r="F474" s="79">
        <v>4</v>
      </c>
      <c r="G474" s="687"/>
      <c r="H474" s="687"/>
      <c r="I474" s="562"/>
      <c r="J474" s="562"/>
      <c r="K474" s="562"/>
      <c r="L474" s="562"/>
      <c r="M474" s="562"/>
      <c r="N474" s="562"/>
    </row>
    <row r="475" spans="1:14" ht="12.75" customHeight="1">
      <c r="A475" s="676"/>
      <c r="B475" s="434"/>
      <c r="C475" s="331"/>
      <c r="D475" s="691"/>
      <c r="E475" s="78">
        <f>E473+E474</f>
        <v>717488</v>
      </c>
      <c r="F475" s="79">
        <v>5</v>
      </c>
      <c r="G475" s="688"/>
      <c r="H475" s="688"/>
      <c r="I475" s="563"/>
      <c r="J475" s="563"/>
      <c r="K475" s="563"/>
      <c r="L475" s="563"/>
      <c r="M475" s="563"/>
      <c r="N475" s="563"/>
    </row>
    <row r="476" spans="1:14" ht="12.75" customHeight="1">
      <c r="A476" s="676"/>
      <c r="B476" s="434"/>
      <c r="C476" s="331"/>
      <c r="D476" s="689">
        <v>2013</v>
      </c>
      <c r="E476" s="78">
        <v>92590</v>
      </c>
      <c r="F476" s="79">
        <v>3</v>
      </c>
      <c r="G476" s="686"/>
      <c r="H476" s="686"/>
      <c r="I476" s="561"/>
      <c r="J476" s="561"/>
      <c r="K476" s="561"/>
      <c r="L476" s="561"/>
      <c r="M476" s="561"/>
      <c r="N476" s="561"/>
    </row>
    <row r="477" spans="1:14" ht="12.75" customHeight="1">
      <c r="A477" s="676"/>
      <c r="B477" s="434"/>
      <c r="C477" s="331"/>
      <c r="D477" s="690"/>
      <c r="E477" s="78">
        <v>185180</v>
      </c>
      <c r="F477" s="79">
        <v>4</v>
      </c>
      <c r="G477" s="687"/>
      <c r="H477" s="687"/>
      <c r="I477" s="562"/>
      <c r="J477" s="562"/>
      <c r="K477" s="562"/>
      <c r="L477" s="562"/>
      <c r="M477" s="562"/>
      <c r="N477" s="562"/>
    </row>
    <row r="478" spans="1:14" ht="12.75" customHeight="1">
      <c r="A478" s="676"/>
      <c r="B478" s="434"/>
      <c r="C478" s="331"/>
      <c r="D478" s="691"/>
      <c r="E478" s="78">
        <f>E476+E477</f>
        <v>277770</v>
      </c>
      <c r="F478" s="79">
        <v>5</v>
      </c>
      <c r="G478" s="688"/>
      <c r="H478" s="688"/>
      <c r="I478" s="563"/>
      <c r="J478" s="563"/>
      <c r="K478" s="563"/>
      <c r="L478" s="563"/>
      <c r="M478" s="563"/>
      <c r="N478" s="563"/>
    </row>
    <row r="479" spans="1:14" ht="12.75" customHeight="1">
      <c r="A479" s="676"/>
      <c r="B479" s="434"/>
      <c r="C479" s="331"/>
      <c r="D479" s="689">
        <v>2014</v>
      </c>
      <c r="E479" s="78">
        <v>6173</v>
      </c>
      <c r="F479" s="79">
        <v>3</v>
      </c>
      <c r="G479" s="686">
        <f>L479*0.325</f>
        <v>21.347625</v>
      </c>
      <c r="H479" s="686">
        <v>48226</v>
      </c>
      <c r="I479" s="561"/>
      <c r="J479" s="561"/>
      <c r="K479" s="561"/>
      <c r="L479" s="561">
        <v>65.685</v>
      </c>
      <c r="M479" s="561"/>
      <c r="N479" s="561"/>
    </row>
    <row r="480" spans="1:14" ht="12.75" customHeight="1">
      <c r="A480" s="676"/>
      <c r="B480" s="434"/>
      <c r="C480" s="331"/>
      <c r="D480" s="690"/>
      <c r="E480" s="78">
        <v>12345</v>
      </c>
      <c r="F480" s="79">
        <v>4</v>
      </c>
      <c r="G480" s="687"/>
      <c r="H480" s="687"/>
      <c r="I480" s="562"/>
      <c r="J480" s="562"/>
      <c r="K480" s="562"/>
      <c r="L480" s="562"/>
      <c r="M480" s="562"/>
      <c r="N480" s="562"/>
    </row>
    <row r="481" spans="1:14" ht="12.75" customHeight="1">
      <c r="A481" s="676"/>
      <c r="B481" s="434"/>
      <c r="C481" s="331"/>
      <c r="D481" s="691"/>
      <c r="E481" s="78">
        <f>E479+E480</f>
        <v>18518</v>
      </c>
      <c r="F481" s="79">
        <v>5</v>
      </c>
      <c r="G481" s="688"/>
      <c r="H481" s="688"/>
      <c r="I481" s="563"/>
      <c r="J481" s="563"/>
      <c r="K481" s="563"/>
      <c r="L481" s="563"/>
      <c r="M481" s="563"/>
      <c r="N481" s="563"/>
    </row>
    <row r="482" spans="1:14" ht="12.75" customHeight="1">
      <c r="A482" s="677"/>
      <c r="B482" s="399"/>
      <c r="C482" s="409"/>
      <c r="D482" s="85">
        <v>2015</v>
      </c>
      <c r="E482" s="78"/>
      <c r="F482" s="79"/>
      <c r="G482" s="83">
        <f>L482*0.325</f>
        <v>21.347625</v>
      </c>
      <c r="H482" s="83">
        <v>48226</v>
      </c>
      <c r="I482" s="84"/>
      <c r="J482" s="84"/>
      <c r="K482" s="84"/>
      <c r="L482" s="84">
        <v>65.685</v>
      </c>
      <c r="M482" s="84"/>
      <c r="N482" s="84"/>
    </row>
    <row r="483" spans="1:14" ht="34.5" customHeight="1">
      <c r="A483" s="46" t="s">
        <v>331</v>
      </c>
      <c r="B483" s="23" t="s">
        <v>45</v>
      </c>
      <c r="C483" s="32" t="s">
        <v>46</v>
      </c>
      <c r="D483" s="56">
        <v>2013</v>
      </c>
      <c r="E483" s="25">
        <v>9.8</v>
      </c>
      <c r="F483" s="26">
        <v>3</v>
      </c>
      <c r="G483" s="25">
        <f>L483*0.325</f>
        <v>0.031525000000000004</v>
      </c>
      <c r="H483" s="25">
        <v>93.357</v>
      </c>
      <c r="I483" s="48"/>
      <c r="J483" s="48"/>
      <c r="K483" s="48"/>
      <c r="L483" s="48">
        <v>0.097</v>
      </c>
      <c r="M483" s="48"/>
      <c r="N483" s="48"/>
    </row>
    <row r="484" spans="1:14" ht="12.75" customHeight="1">
      <c r="A484" s="21"/>
      <c r="B484" s="86" t="s">
        <v>116</v>
      </c>
      <c r="C484" s="59"/>
      <c r="D484" s="539" t="s">
        <v>443</v>
      </c>
      <c r="E484" s="50">
        <f>E487+E490+E493+E496+E499</f>
        <v>6168580.13</v>
      </c>
      <c r="F484" s="51">
        <v>3</v>
      </c>
      <c r="G484" s="536">
        <f>G487+G490+G493+G496+G499</f>
        <v>1727.538996</v>
      </c>
      <c r="H484" s="536">
        <f>H487+H490+H493+H496+H499</f>
        <v>4493482.653000001</v>
      </c>
      <c r="I484" s="536">
        <f>I487+I490+I493+I496+I499</f>
        <v>875.354</v>
      </c>
      <c r="J484" s="537"/>
      <c r="K484" s="537"/>
      <c r="L484" s="541">
        <f>L487+L490+L493+L496+L499</f>
        <v>512.1110000000001</v>
      </c>
      <c r="M484" s="537">
        <f>M487+M490+M493+M496+M499</f>
        <v>26.476</v>
      </c>
      <c r="N484" s="537">
        <f>N487+N490+N493+N499</f>
        <v>449.716</v>
      </c>
    </row>
    <row r="485" spans="1:14" ht="12.75" customHeight="1">
      <c r="A485" s="28"/>
      <c r="B485" s="88"/>
      <c r="C485" s="60"/>
      <c r="D485" s="539"/>
      <c r="E485" s="50">
        <f>E488+E491+E494+E497</f>
        <v>2842893.33</v>
      </c>
      <c r="F485" s="51">
        <v>4</v>
      </c>
      <c r="G485" s="536"/>
      <c r="H485" s="536"/>
      <c r="I485" s="536"/>
      <c r="J485" s="537"/>
      <c r="K485" s="537"/>
      <c r="L485" s="541"/>
      <c r="M485" s="537"/>
      <c r="N485" s="537"/>
    </row>
    <row r="486" spans="1:14" ht="12.75" customHeight="1">
      <c r="A486" s="28"/>
      <c r="B486" s="88"/>
      <c r="C486" s="60"/>
      <c r="D486" s="539"/>
      <c r="E486" s="50">
        <f>E484+E485</f>
        <v>9011473.46</v>
      </c>
      <c r="F486" s="51">
        <v>5</v>
      </c>
      <c r="G486" s="536"/>
      <c r="H486" s="536"/>
      <c r="I486" s="536"/>
      <c r="J486" s="537"/>
      <c r="K486" s="537"/>
      <c r="L486" s="541"/>
      <c r="M486" s="537"/>
      <c r="N486" s="537"/>
    </row>
    <row r="487" spans="1:14" ht="12.75" customHeight="1">
      <c r="A487" s="28"/>
      <c r="B487" s="88"/>
      <c r="C487" s="60"/>
      <c r="D487" s="542">
        <v>2011</v>
      </c>
      <c r="E487" s="50">
        <f>E361+E367+E373+E379+E392+E394+E397+E403+E414+E419+E420+E423+E428+E432+E437+E439+E444+E447+E456+E465</f>
        <v>727656.1599999999</v>
      </c>
      <c r="F487" s="51">
        <v>3</v>
      </c>
      <c r="G487" s="536">
        <f>G311+G317+G336+G344+G354+G361+G373+G392+G394+G397+G403+G414+G419+G420+G423+G432+G437+G439+G444+G447+G456+G465</f>
        <v>233.96899999999997</v>
      </c>
      <c r="H487" s="536">
        <v>268625.46</v>
      </c>
      <c r="I487" s="537">
        <v>72.283</v>
      </c>
      <c r="J487" s="468"/>
      <c r="K487" s="468"/>
      <c r="L487" s="537">
        <v>55.738</v>
      </c>
      <c r="M487" s="537">
        <v>6.368</v>
      </c>
      <c r="N487" s="537">
        <v>39.6</v>
      </c>
    </row>
    <row r="488" spans="1:14" ht="12.75" customHeight="1">
      <c r="A488" s="28"/>
      <c r="B488" s="88"/>
      <c r="C488" s="60"/>
      <c r="D488" s="543"/>
      <c r="E488" s="50">
        <f>E336+E354+E344</f>
        <v>606888.33</v>
      </c>
      <c r="F488" s="51">
        <v>4</v>
      </c>
      <c r="G488" s="536"/>
      <c r="H488" s="536"/>
      <c r="I488" s="537"/>
      <c r="J488" s="468"/>
      <c r="K488" s="468"/>
      <c r="L488" s="537"/>
      <c r="M488" s="537"/>
      <c r="N488" s="537"/>
    </row>
    <row r="489" spans="1:14" ht="13.5" customHeight="1">
      <c r="A489" s="28"/>
      <c r="B489" s="88"/>
      <c r="C489" s="60"/>
      <c r="D489" s="544"/>
      <c r="E489" s="50">
        <f>E487+E488</f>
        <v>1334544.4899999998</v>
      </c>
      <c r="F489" s="51">
        <v>5</v>
      </c>
      <c r="G489" s="536"/>
      <c r="H489" s="536"/>
      <c r="I489" s="537"/>
      <c r="J489" s="468"/>
      <c r="K489" s="468"/>
      <c r="L489" s="537"/>
      <c r="M489" s="537"/>
      <c r="N489" s="537"/>
    </row>
    <row r="490" spans="1:14" ht="12.75" customHeight="1">
      <c r="A490" s="28"/>
      <c r="B490" s="88"/>
      <c r="C490" s="60"/>
      <c r="D490" s="539">
        <v>2012</v>
      </c>
      <c r="E490" s="50">
        <f>E362+E380+E389+E395+E398+E404+E409+E415+E433+E441+E448+E453+E457+E466+E473</f>
        <v>267419.69</v>
      </c>
      <c r="F490" s="51">
        <v>3</v>
      </c>
      <c r="G490" s="536">
        <f>G312+G318+G329+G337+G345+G355+G362+G368+G374+G389+G398+G404+G409+G415+G424+G433+G441+G448+G457+G466</f>
        <v>262.31699999999995</v>
      </c>
      <c r="H490" s="536">
        <f>H312+H318+H329+H337+H345+H355+H362+H368+H374+H389+H398+H404+H409+H415+H424+H433+H441+H448+H457+H466</f>
        <v>466179.14999999997</v>
      </c>
      <c r="I490" s="537">
        <f>I312+I318+I329+I337+I345+I355+I362+I368+I374+I389+I398+I404+I409+I415+I424+I433+I441+I448+I457+I466</f>
        <v>155.606</v>
      </c>
      <c r="J490" s="468"/>
      <c r="K490" s="468"/>
      <c r="L490" s="537">
        <f>L312+L318+L329+L337+L345+L355+L362+L368+L374+L389+L398+L404+L409+L415+L424+L433+L441+L448+L457+L466</f>
        <v>91.28</v>
      </c>
      <c r="M490" s="537">
        <f>M312+M318+M329+M337+M345+M355+M362+M368+M374+M389+M398+M404+M409+M415+M424+M433+M441+M448+M457+M466</f>
        <v>6.268</v>
      </c>
      <c r="N490" s="537">
        <f>N312+N318+N329+N337+N345+N355+N362+N368+N374+N389+N398+N404+N409+N415+N424+N433+N441+N448+N457+N466</f>
        <v>49.730000000000004</v>
      </c>
    </row>
    <row r="491" spans="1:14" ht="12.75" customHeight="1">
      <c r="A491" s="28"/>
      <c r="B491" s="88"/>
      <c r="C491" s="60"/>
      <c r="D491" s="539"/>
      <c r="E491" s="50">
        <f>E329+E337+E355+E474</f>
        <v>2038480</v>
      </c>
      <c r="F491" s="51">
        <v>4</v>
      </c>
      <c r="G491" s="536"/>
      <c r="H491" s="536"/>
      <c r="I491" s="537"/>
      <c r="J491" s="468"/>
      <c r="K491" s="468"/>
      <c r="L491" s="537"/>
      <c r="M491" s="537"/>
      <c r="N491" s="537"/>
    </row>
    <row r="492" spans="1:14" ht="12.75" customHeight="1">
      <c r="A492" s="28"/>
      <c r="B492" s="88"/>
      <c r="C492" s="60"/>
      <c r="D492" s="539"/>
      <c r="E492" s="50">
        <f>E490+E491</f>
        <v>2305899.69</v>
      </c>
      <c r="F492" s="51">
        <v>5</v>
      </c>
      <c r="G492" s="536"/>
      <c r="H492" s="536"/>
      <c r="I492" s="537"/>
      <c r="J492" s="468"/>
      <c r="K492" s="468"/>
      <c r="L492" s="537"/>
      <c r="M492" s="537"/>
      <c r="N492" s="537"/>
    </row>
    <row r="493" spans="1:14" ht="12.75" customHeight="1">
      <c r="A493" s="28"/>
      <c r="B493" s="88"/>
      <c r="C493" s="60"/>
      <c r="D493" s="539">
        <v>2013</v>
      </c>
      <c r="E493" s="50">
        <f>E305+E307+E323+E330+E338+E346+E350+E357+E385+E390+E399+E405+E407+E408+E410+E416+E421+E438+E445+E449+E458+E462+E467+E476+E483</f>
        <v>2812753.9099999997</v>
      </c>
      <c r="F493" s="51">
        <v>3</v>
      </c>
      <c r="G493" s="536">
        <f>G305+G313+G319+G357+G363+G369+G375+G381+G385+G390+G399+G405+G407+G408+G410+G416+G421+G425+G434+G438+G445+G449+G458+G462+G467+G483</f>
        <v>177.77903399999997</v>
      </c>
      <c r="H493" s="536">
        <f>H305+H313+H319+H357+H363+H369+H375+H381+H385+H390+H399+H405+H407+H408+H410+H416+H421+H425+H434+H438+H445+H449+H458+H462+H467+H483</f>
        <v>307858.081</v>
      </c>
      <c r="I493" s="537">
        <f>I305+I313+I319+I357+I363+I369+I375+I381+I385+I390+I399+I405+I407+I408+I410+I416+I421+I425+I434+I438+I445+I449+I458+I462+I467+I483</f>
        <v>125.69300000000001</v>
      </c>
      <c r="J493" s="468"/>
      <c r="K493" s="468"/>
      <c r="L493" s="537">
        <f>L305+L313+L319+L357+L363+L369+L375+L381+L385+L390+L399+L405+L407+L408+L410+L416+L421+L425+L434+L438+L445+L449+L458+L462+L467+L483</f>
        <v>86.02800000000002</v>
      </c>
      <c r="M493" s="537">
        <f>M305+M313+M319+M357+M363+M369+M375+M381+M385+M390+M399+M405+M407+M408+M410+M416+M421+M425+M434+M438+M445+M449+M458+M462+M467+M483</f>
        <v>1.3039999999999998</v>
      </c>
      <c r="N493" s="537">
        <f>N305+N313+N319+N357+N363+N369+N375+N381+N385+N390+N399+N405+N407+N408+N410+N416+N421+N425+N434+N438+N445+N449+N458+N462+N467+N483</f>
        <v>2.946</v>
      </c>
    </row>
    <row r="494" spans="1:14" ht="12.75" customHeight="1">
      <c r="A494" s="28"/>
      <c r="B494" s="88"/>
      <c r="C494" s="60"/>
      <c r="D494" s="539"/>
      <c r="E494" s="50">
        <f>E477</f>
        <v>185180</v>
      </c>
      <c r="F494" s="51">
        <v>4</v>
      </c>
      <c r="G494" s="536"/>
      <c r="H494" s="536"/>
      <c r="I494" s="537"/>
      <c r="J494" s="468"/>
      <c r="K494" s="468"/>
      <c r="L494" s="537"/>
      <c r="M494" s="537"/>
      <c r="N494" s="537"/>
    </row>
    <row r="495" spans="1:14" ht="12.75" customHeight="1">
      <c r="A495" s="28"/>
      <c r="B495" s="88"/>
      <c r="C495" s="60"/>
      <c r="D495" s="539"/>
      <c r="E495" s="50">
        <f>E493+E494</f>
        <v>2997933.9099999997</v>
      </c>
      <c r="F495" s="51">
        <v>5</v>
      </c>
      <c r="G495" s="536"/>
      <c r="H495" s="536"/>
      <c r="I495" s="537"/>
      <c r="J495" s="468"/>
      <c r="K495" s="468"/>
      <c r="L495" s="537"/>
      <c r="M495" s="537"/>
      <c r="N495" s="537"/>
    </row>
    <row r="496" spans="1:14" ht="12.75" customHeight="1">
      <c r="A496" s="28"/>
      <c r="B496" s="88"/>
      <c r="C496" s="60"/>
      <c r="D496" s="539">
        <v>2014</v>
      </c>
      <c r="E496" s="50">
        <f>E324+E331+E339+E347+E351+E386+E391+E400+E406+E411+E417+E429+E442+E450+E459+E463+E468+E479</f>
        <v>1188939.71</v>
      </c>
      <c r="F496" s="51">
        <v>3</v>
      </c>
      <c r="G496" s="536">
        <f>G308+G314+G320+G324+G347+G358+G364+G370+G376+G382+G386+G391+G400+G406+G411+G417+G426+G429+G435+G442+G450+G459+G463+G468+G479</f>
        <v>186.418347</v>
      </c>
      <c r="H496" s="536">
        <f>H308+H314+H320+H324+H347+H358+H364+H370+H376+H382+H386+H391+H400+H406+H411+H417+H426+H429+H435+H442+H450+H459+H463+H468+H479</f>
        <v>372894.47199999995</v>
      </c>
      <c r="I496" s="537">
        <f>I308+I314+I320+I324+I347+I358+I364+I370+I376+I382+I386+I391+I400+I406+I411+I417+I426+I429+I435+I442+I450+I459+I463+I468+I479</f>
        <v>119.03800000000001</v>
      </c>
      <c r="J496" s="468"/>
      <c r="K496" s="468"/>
      <c r="L496" s="537">
        <f>L308+L314+L320+L324+L347+L358+L364+L370+L376+L382+L386+L391+L400+L406+L411+L417+L426+L429+L435+L442+L450+L459+L463+L468+L479</f>
        <v>143.50300000000001</v>
      </c>
      <c r="M496" s="537">
        <f>M308+M314+M320+M324+M347+M358+M364+M370+M376+M382+M386+M391+M400+M406+M411+M417+M426+M429+M435+M442+M450+M459+M463+M468+M479</f>
        <v>6.268</v>
      </c>
      <c r="N496" s="537"/>
    </row>
    <row r="497" spans="1:14" ht="12.75" customHeight="1">
      <c r="A497" s="28"/>
      <c r="B497" s="88"/>
      <c r="C497" s="60"/>
      <c r="D497" s="539"/>
      <c r="E497" s="50">
        <f>E480</f>
        <v>12345</v>
      </c>
      <c r="F497" s="51">
        <v>4</v>
      </c>
      <c r="G497" s="536"/>
      <c r="H497" s="536"/>
      <c r="I497" s="537"/>
      <c r="J497" s="468"/>
      <c r="K497" s="468"/>
      <c r="L497" s="537"/>
      <c r="M497" s="537"/>
      <c r="N497" s="537"/>
    </row>
    <row r="498" spans="1:14" ht="12.75" customHeight="1">
      <c r="A498" s="28"/>
      <c r="B498" s="88"/>
      <c r="C498" s="60"/>
      <c r="D498" s="539"/>
      <c r="E498" s="50">
        <f>E496+E497</f>
        <v>1201284.71</v>
      </c>
      <c r="F498" s="51">
        <v>5</v>
      </c>
      <c r="G498" s="536"/>
      <c r="H498" s="536"/>
      <c r="I498" s="537"/>
      <c r="J498" s="468"/>
      <c r="K498" s="468"/>
      <c r="L498" s="537"/>
      <c r="M498" s="537"/>
      <c r="N498" s="537"/>
    </row>
    <row r="499" spans="1:14" ht="12.75" customHeight="1">
      <c r="A499" s="30"/>
      <c r="B499" s="89"/>
      <c r="C499" s="90"/>
      <c r="D499" s="87">
        <v>2015</v>
      </c>
      <c r="E499" s="50">
        <f>E332+E352+E387+E401+E412+E418+E430+E443+E451+E454+E460+E469</f>
        <v>1171810.6600000001</v>
      </c>
      <c r="F499" s="51">
        <v>3</v>
      </c>
      <c r="G499" s="50">
        <f>G309+G315+G321+G325+G332+G340+G348+G352+G359+G365+G371+G377+G383+G387+G401+G412+G418+G427+G430+G436+G443+G451+G454+G460+G469+G482</f>
        <v>867.055615</v>
      </c>
      <c r="H499" s="50">
        <f>H309+H315+H321+H325+H332+H340+H348+H352+H359+H365+H371+H377+H383+H387+H401+H412+H418+H427+H430+H436+H443+H451+H454+H460+H469+H482</f>
        <v>3077925.4900000007</v>
      </c>
      <c r="I499" s="70">
        <f>I309+I315+I321+I325+I332+I340+I348+I352+I359+I365+I371+I377+I383+I387+I401+I412+I418+I427+I430+I436+I443+I451+I454+I460+I469+I482</f>
        <v>402.73400000000004</v>
      </c>
      <c r="J499" s="48"/>
      <c r="K499" s="48"/>
      <c r="L499" s="70">
        <f>L309+L315+L321+L325+L332+L340+L348+L352+L359+L365+L371+L377+L383+L387+L401+L412+L418+L427+L430+L436+L443+L451+L454+L460+L469+L482</f>
        <v>135.562</v>
      </c>
      <c r="M499" s="70">
        <f>M309+M315+M321+M325+M332+M340+M348+M352+M359+M365+M371+M377+M383+M387+M401+M412+M418+M427+M430+M436+M443+M451+M454+M460+M469+M482</f>
        <v>6.268</v>
      </c>
      <c r="N499" s="70">
        <f>N309+N315+N321+N325+N332+N340+N348+N352+N359+N365+N371+N377+N383+N387+N401+N412+N418+N427+N430+N436+N443+N451+N454+N460+N469+N482</f>
        <v>357.44</v>
      </c>
    </row>
    <row r="500" spans="1:14" ht="12.75" customHeight="1">
      <c r="A500" s="545" t="s">
        <v>198</v>
      </c>
      <c r="B500" s="545"/>
      <c r="C500" s="545"/>
      <c r="D500" s="302"/>
      <c r="E500" s="302"/>
      <c r="F500" s="302"/>
      <c r="G500" s="302"/>
      <c r="H500" s="302"/>
      <c r="I500" s="302"/>
      <c r="J500" s="302"/>
      <c r="K500" s="302"/>
      <c r="L500" s="302"/>
      <c r="M500" s="302"/>
      <c r="N500" s="302"/>
    </row>
    <row r="501" spans="1:14" ht="23.25" customHeight="1">
      <c r="A501" s="417">
        <v>68</v>
      </c>
      <c r="B501" s="439" t="s">
        <v>300</v>
      </c>
      <c r="C501" s="403" t="s">
        <v>302</v>
      </c>
      <c r="D501" s="24" t="s">
        <v>442</v>
      </c>
      <c r="E501" s="25">
        <v>209.95</v>
      </c>
      <c r="F501" s="26">
        <v>3</v>
      </c>
      <c r="G501" s="25">
        <v>0.06</v>
      </c>
      <c r="H501" s="25">
        <v>103.52</v>
      </c>
      <c r="I501" s="48"/>
      <c r="J501" s="48"/>
      <c r="K501" s="48"/>
      <c r="L501" s="48">
        <v>0.161</v>
      </c>
      <c r="M501" s="48"/>
      <c r="N501" s="48"/>
    </row>
    <row r="502" spans="1:14" ht="12.75" customHeight="1">
      <c r="A502" s="345"/>
      <c r="B502" s="345"/>
      <c r="C502" s="345"/>
      <c r="D502" s="91">
        <v>2011</v>
      </c>
      <c r="E502" s="25">
        <v>44.2</v>
      </c>
      <c r="F502" s="26">
        <v>3</v>
      </c>
      <c r="G502" s="25">
        <v>0.01</v>
      </c>
      <c r="H502" s="25">
        <v>16.07</v>
      </c>
      <c r="I502" s="48"/>
      <c r="J502" s="48"/>
      <c r="K502" s="48"/>
      <c r="L502" s="48">
        <v>0.025</v>
      </c>
      <c r="M502" s="48"/>
      <c r="N502" s="48"/>
    </row>
    <row r="503" spans="1:14" ht="12.75" customHeight="1">
      <c r="A503" s="345"/>
      <c r="B503" s="345"/>
      <c r="C503" s="345"/>
      <c r="D503" s="67">
        <v>2012</v>
      </c>
      <c r="E503" s="25">
        <v>50.83</v>
      </c>
      <c r="F503" s="26">
        <v>3</v>
      </c>
      <c r="G503" s="25">
        <v>0.02</v>
      </c>
      <c r="H503" s="25">
        <v>33.42</v>
      </c>
      <c r="I503" s="48"/>
      <c r="J503" s="48"/>
      <c r="K503" s="48"/>
      <c r="L503" s="48">
        <v>0.052</v>
      </c>
      <c r="M503" s="48"/>
      <c r="N503" s="48"/>
    </row>
    <row r="504" spans="1:14" ht="12" customHeight="1">
      <c r="A504" s="540"/>
      <c r="B504" s="540"/>
      <c r="C504" s="540"/>
      <c r="D504" s="67">
        <v>2013</v>
      </c>
      <c r="E504" s="25">
        <v>24.31</v>
      </c>
      <c r="F504" s="26">
        <v>3</v>
      </c>
      <c r="G504" s="25">
        <v>0.01</v>
      </c>
      <c r="H504" s="25">
        <v>20.6</v>
      </c>
      <c r="I504" s="48"/>
      <c r="J504" s="48"/>
      <c r="K504" s="48"/>
      <c r="L504" s="48">
        <v>0.032</v>
      </c>
      <c r="M504" s="48"/>
      <c r="N504" s="48"/>
    </row>
    <row r="505" spans="1:14" ht="11.25" customHeight="1">
      <c r="A505" s="540"/>
      <c r="B505" s="540"/>
      <c r="C505" s="540"/>
      <c r="D505" s="67">
        <v>2014</v>
      </c>
      <c r="E505" s="25">
        <v>39.78</v>
      </c>
      <c r="F505" s="26">
        <v>3</v>
      </c>
      <c r="G505" s="25">
        <v>0.01</v>
      </c>
      <c r="H505" s="25">
        <v>13.5</v>
      </c>
      <c r="I505" s="48"/>
      <c r="J505" s="48"/>
      <c r="K505" s="48"/>
      <c r="L505" s="48">
        <v>0.021</v>
      </c>
      <c r="M505" s="48"/>
      <c r="N505" s="48"/>
    </row>
    <row r="506" spans="1:14" ht="11.25" customHeight="1">
      <c r="A506" s="540"/>
      <c r="B506" s="540"/>
      <c r="C506" s="540"/>
      <c r="D506" s="65">
        <v>2015</v>
      </c>
      <c r="E506" s="25">
        <v>50.83</v>
      </c>
      <c r="F506" s="65">
        <v>3</v>
      </c>
      <c r="G506" s="25">
        <v>0.01</v>
      </c>
      <c r="H506" s="25">
        <v>19.93</v>
      </c>
      <c r="I506" s="48"/>
      <c r="J506" s="65"/>
      <c r="K506" s="65"/>
      <c r="L506" s="65">
        <v>0.031</v>
      </c>
      <c r="M506" s="65"/>
      <c r="N506" s="65"/>
    </row>
    <row r="507" spans="1:14" ht="20.25" customHeight="1">
      <c r="A507" s="411">
        <v>69</v>
      </c>
      <c r="B507" s="424" t="s">
        <v>301</v>
      </c>
      <c r="C507" s="403" t="s">
        <v>302</v>
      </c>
      <c r="D507" s="24" t="s">
        <v>441</v>
      </c>
      <c r="E507" s="25">
        <v>350</v>
      </c>
      <c r="F507" s="26">
        <v>3</v>
      </c>
      <c r="G507" s="25">
        <v>0.02</v>
      </c>
      <c r="H507" s="25">
        <v>26.19</v>
      </c>
      <c r="I507" s="48">
        <v>0.012</v>
      </c>
      <c r="J507" s="48"/>
      <c r="K507" s="48"/>
      <c r="L507" s="48"/>
      <c r="M507" s="48"/>
      <c r="N507" s="48"/>
    </row>
    <row r="508" spans="1:14" ht="12" customHeight="1">
      <c r="A508" s="412"/>
      <c r="B508" s="424"/>
      <c r="C508" s="403"/>
      <c r="D508" s="91">
        <v>2011</v>
      </c>
      <c r="E508" s="25">
        <v>200</v>
      </c>
      <c r="F508" s="26">
        <v>3</v>
      </c>
      <c r="G508" s="25">
        <v>0.01</v>
      </c>
      <c r="H508" s="25">
        <v>15.28</v>
      </c>
      <c r="I508" s="48">
        <v>0.007</v>
      </c>
      <c r="J508" s="48"/>
      <c r="K508" s="48"/>
      <c r="L508" s="48"/>
      <c r="M508" s="48"/>
      <c r="N508" s="48"/>
    </row>
    <row r="509" spans="1:14" ht="12" customHeight="1">
      <c r="A509" s="419"/>
      <c r="B509" s="424"/>
      <c r="C509" s="403"/>
      <c r="D509" s="67">
        <v>2012</v>
      </c>
      <c r="E509" s="25">
        <v>150</v>
      </c>
      <c r="F509" s="26">
        <v>3</v>
      </c>
      <c r="G509" s="25">
        <v>0.01</v>
      </c>
      <c r="H509" s="25">
        <v>10.91</v>
      </c>
      <c r="I509" s="48">
        <v>0.005</v>
      </c>
      <c r="J509" s="48"/>
      <c r="K509" s="48"/>
      <c r="L509" s="48"/>
      <c r="M509" s="48"/>
      <c r="N509" s="48"/>
    </row>
    <row r="510" spans="1:14" ht="21" customHeight="1">
      <c r="A510" s="417">
        <v>70</v>
      </c>
      <c r="B510" s="439" t="s">
        <v>363</v>
      </c>
      <c r="C510" s="403" t="s">
        <v>302</v>
      </c>
      <c r="D510" s="24" t="s">
        <v>440</v>
      </c>
      <c r="E510" s="25">
        <f>SUM(E511:E513)</f>
        <v>340</v>
      </c>
      <c r="F510" s="26">
        <v>3</v>
      </c>
      <c r="G510" s="25">
        <v>0.06</v>
      </c>
      <c r="H510" s="25">
        <v>117.86</v>
      </c>
      <c r="I510" s="48">
        <v>0.054</v>
      </c>
      <c r="J510" s="48"/>
      <c r="K510" s="48"/>
      <c r="L510" s="48"/>
      <c r="M510" s="48"/>
      <c r="N510" s="48"/>
    </row>
    <row r="511" spans="1:14" ht="12" customHeight="1">
      <c r="A511" s="540"/>
      <c r="B511" s="540"/>
      <c r="C511" s="540"/>
      <c r="D511" s="67">
        <v>2013</v>
      </c>
      <c r="E511" s="25">
        <v>100</v>
      </c>
      <c r="F511" s="26">
        <v>3</v>
      </c>
      <c r="G511" s="25">
        <v>0.02</v>
      </c>
      <c r="H511" s="25">
        <v>30.56</v>
      </c>
      <c r="I511" s="48">
        <v>0.014</v>
      </c>
      <c r="J511" s="48"/>
      <c r="K511" s="48"/>
      <c r="L511" s="48"/>
      <c r="M511" s="48"/>
      <c r="N511" s="48"/>
    </row>
    <row r="512" spans="1:14" ht="11.25" customHeight="1">
      <c r="A512" s="540"/>
      <c r="B512" s="540"/>
      <c r="C512" s="540"/>
      <c r="D512" s="67">
        <v>2014</v>
      </c>
      <c r="E512" s="25">
        <v>120</v>
      </c>
      <c r="F512" s="26">
        <v>3</v>
      </c>
      <c r="G512" s="25">
        <v>0.02</v>
      </c>
      <c r="H512" s="25">
        <v>43.65</v>
      </c>
      <c r="I512" s="48">
        <v>0.02</v>
      </c>
      <c r="J512" s="48"/>
      <c r="K512" s="48"/>
      <c r="L512" s="48"/>
      <c r="M512" s="48"/>
      <c r="N512" s="48"/>
    </row>
    <row r="513" spans="1:14" ht="11.25" customHeight="1">
      <c r="A513" s="540"/>
      <c r="B513" s="540"/>
      <c r="C513" s="540"/>
      <c r="D513" s="65">
        <v>2015</v>
      </c>
      <c r="E513" s="25">
        <v>120</v>
      </c>
      <c r="F513" s="65">
        <v>3</v>
      </c>
      <c r="G513" s="25">
        <v>0.02</v>
      </c>
      <c r="H513" s="25">
        <v>43.65</v>
      </c>
      <c r="I513" s="48">
        <v>0.02</v>
      </c>
      <c r="J513" s="65"/>
      <c r="K513" s="65"/>
      <c r="L513" s="65"/>
      <c r="M513" s="65"/>
      <c r="N513" s="65"/>
    </row>
    <row r="514" spans="1:14" ht="21" customHeight="1">
      <c r="A514" s="417">
        <v>71</v>
      </c>
      <c r="B514" s="439" t="s">
        <v>364</v>
      </c>
      <c r="C514" s="403" t="s">
        <v>303</v>
      </c>
      <c r="D514" s="24" t="s">
        <v>439</v>
      </c>
      <c r="E514" s="25">
        <f>SUM(E515:E519)</f>
        <v>2492.46</v>
      </c>
      <c r="F514" s="26">
        <v>3</v>
      </c>
      <c r="G514" s="25">
        <f>SUM(G515:G519)</f>
        <v>0.39999999999999997</v>
      </c>
      <c r="H514" s="25">
        <v>716.08</v>
      </c>
      <c r="I514" s="48"/>
      <c r="J514" s="48"/>
      <c r="K514" s="48"/>
      <c r="L514" s="48">
        <v>1.114</v>
      </c>
      <c r="M514" s="48"/>
      <c r="N514" s="48"/>
    </row>
    <row r="515" spans="1:14" ht="11.25" customHeight="1">
      <c r="A515" s="417"/>
      <c r="B515" s="439"/>
      <c r="C515" s="403"/>
      <c r="D515" s="91">
        <v>2011</v>
      </c>
      <c r="E515" s="25">
        <v>215.4</v>
      </c>
      <c r="F515" s="26">
        <v>3</v>
      </c>
      <c r="G515" s="25">
        <v>0.08</v>
      </c>
      <c r="H515" s="25">
        <v>137.56</v>
      </c>
      <c r="I515" s="48"/>
      <c r="J515" s="48"/>
      <c r="K515" s="48"/>
      <c r="L515" s="48">
        <v>0.214</v>
      </c>
      <c r="M515" s="48"/>
      <c r="N515" s="48"/>
    </row>
    <row r="516" spans="1:14" ht="10.5" customHeight="1">
      <c r="A516" s="540"/>
      <c r="B516" s="540"/>
      <c r="C516" s="540"/>
      <c r="D516" s="67">
        <v>2012</v>
      </c>
      <c r="E516" s="25">
        <v>215.4</v>
      </c>
      <c r="F516" s="26">
        <v>3</v>
      </c>
      <c r="G516" s="25">
        <v>0.11</v>
      </c>
      <c r="H516" s="25">
        <v>194.13</v>
      </c>
      <c r="I516" s="48"/>
      <c r="J516" s="48"/>
      <c r="K516" s="48"/>
      <c r="L516" s="48">
        <v>0.302</v>
      </c>
      <c r="M516" s="48"/>
      <c r="N516" s="48"/>
    </row>
    <row r="517" spans="1:14" ht="10.5" customHeight="1">
      <c r="A517" s="540"/>
      <c r="B517" s="540"/>
      <c r="C517" s="540"/>
      <c r="D517" s="67">
        <v>2013</v>
      </c>
      <c r="E517" s="25">
        <v>215.4</v>
      </c>
      <c r="F517" s="26">
        <v>3</v>
      </c>
      <c r="G517" s="25">
        <v>0.11</v>
      </c>
      <c r="H517" s="25">
        <v>194.13</v>
      </c>
      <c r="I517" s="48"/>
      <c r="J517" s="48"/>
      <c r="K517" s="48"/>
      <c r="L517" s="48">
        <v>0.302</v>
      </c>
      <c r="M517" s="48"/>
      <c r="N517" s="48"/>
    </row>
    <row r="518" spans="1:14" ht="11.25" customHeight="1">
      <c r="A518" s="540"/>
      <c r="B518" s="540"/>
      <c r="C518" s="540"/>
      <c r="D518" s="67">
        <v>2014</v>
      </c>
      <c r="E518" s="25">
        <v>923.13</v>
      </c>
      <c r="F518" s="26">
        <v>3</v>
      </c>
      <c r="G518" s="25">
        <v>0.05</v>
      </c>
      <c r="H518" s="25">
        <v>95.13</v>
      </c>
      <c r="I518" s="48"/>
      <c r="J518" s="48"/>
      <c r="K518" s="48"/>
      <c r="L518" s="48">
        <v>0.148</v>
      </c>
      <c r="M518" s="48"/>
      <c r="N518" s="48"/>
    </row>
    <row r="519" spans="1:14" ht="9.75" customHeight="1">
      <c r="A519" s="540"/>
      <c r="B519" s="540"/>
      <c r="C519" s="540"/>
      <c r="D519" s="65">
        <v>2015</v>
      </c>
      <c r="E519" s="25">
        <v>923.13</v>
      </c>
      <c r="F519" s="65">
        <v>3</v>
      </c>
      <c r="G519" s="25">
        <v>0.05</v>
      </c>
      <c r="H519" s="25">
        <v>95.13</v>
      </c>
      <c r="I519" s="48"/>
      <c r="J519" s="65"/>
      <c r="K519" s="65"/>
      <c r="L519" s="65">
        <v>0.148</v>
      </c>
      <c r="M519" s="65"/>
      <c r="N519" s="65"/>
    </row>
    <row r="520" spans="1:14" ht="21.75" customHeight="1">
      <c r="A520" s="41">
        <v>72</v>
      </c>
      <c r="B520" s="45" t="s">
        <v>304</v>
      </c>
      <c r="C520" s="24" t="s">
        <v>303</v>
      </c>
      <c r="D520" s="67">
        <v>2013</v>
      </c>
      <c r="E520" s="25">
        <v>800</v>
      </c>
      <c r="F520" s="26">
        <v>3</v>
      </c>
      <c r="G520" s="25">
        <v>0.09</v>
      </c>
      <c r="H520" s="25">
        <v>170.25</v>
      </c>
      <c r="I520" s="48">
        <v>0.078</v>
      </c>
      <c r="J520" s="48"/>
      <c r="K520" s="48"/>
      <c r="L520" s="48"/>
      <c r="M520" s="48"/>
      <c r="N520" s="48"/>
    </row>
    <row r="521" spans="1:14" ht="21" customHeight="1">
      <c r="A521" s="373">
        <v>73</v>
      </c>
      <c r="B521" s="439" t="s">
        <v>199</v>
      </c>
      <c r="C521" s="403" t="s">
        <v>305</v>
      </c>
      <c r="D521" s="24" t="s">
        <v>438</v>
      </c>
      <c r="E521" s="25">
        <v>1100</v>
      </c>
      <c r="F521" s="26">
        <v>3</v>
      </c>
      <c r="G521" s="25">
        <v>0.44</v>
      </c>
      <c r="H521" s="25">
        <v>810.89</v>
      </c>
      <c r="I521" s="48">
        <v>0.32</v>
      </c>
      <c r="J521" s="48"/>
      <c r="K521" s="48"/>
      <c r="L521" s="48">
        <v>0.17</v>
      </c>
      <c r="M521" s="48"/>
      <c r="N521" s="92"/>
    </row>
    <row r="522" spans="1:14" ht="12.75" customHeight="1">
      <c r="A522" s="348"/>
      <c r="B522" s="439"/>
      <c r="C522" s="403"/>
      <c r="D522" s="91">
        <v>2011</v>
      </c>
      <c r="E522" s="25">
        <v>220</v>
      </c>
      <c r="F522" s="26">
        <v>3</v>
      </c>
      <c r="G522" s="25">
        <v>0.083</v>
      </c>
      <c r="H522" s="25">
        <v>155.83</v>
      </c>
      <c r="I522" s="48">
        <v>0.06</v>
      </c>
      <c r="J522" s="48"/>
      <c r="K522" s="48"/>
      <c r="L522" s="48">
        <v>0.038</v>
      </c>
      <c r="M522" s="48"/>
      <c r="N522" s="92"/>
    </row>
    <row r="523" spans="1:14" ht="12" customHeight="1">
      <c r="A523" s="549"/>
      <c r="B523" s="550"/>
      <c r="C523" s="403"/>
      <c r="D523" s="67">
        <v>2012</v>
      </c>
      <c r="E523" s="25">
        <v>220</v>
      </c>
      <c r="F523" s="26">
        <v>3</v>
      </c>
      <c r="G523" s="25">
        <v>0.086</v>
      </c>
      <c r="H523" s="25">
        <v>162.12</v>
      </c>
      <c r="I523" s="48">
        <v>0.064</v>
      </c>
      <c r="J523" s="48"/>
      <c r="K523" s="48"/>
      <c r="L523" s="48">
        <v>0.034</v>
      </c>
      <c r="M523" s="48"/>
      <c r="N523" s="92"/>
    </row>
    <row r="524" spans="1:14" ht="11.25" customHeight="1">
      <c r="A524" s="549"/>
      <c r="B524" s="550"/>
      <c r="C524" s="403"/>
      <c r="D524" s="67">
        <v>2013</v>
      </c>
      <c r="E524" s="25">
        <v>220</v>
      </c>
      <c r="F524" s="26">
        <v>3</v>
      </c>
      <c r="G524" s="25">
        <v>0.089</v>
      </c>
      <c r="H524" s="25">
        <v>327.61</v>
      </c>
      <c r="I524" s="48">
        <v>0.068</v>
      </c>
      <c r="J524" s="48"/>
      <c r="K524" s="48"/>
      <c r="L524" s="48">
        <v>0.03</v>
      </c>
      <c r="M524" s="48"/>
      <c r="N524" s="92"/>
    </row>
    <row r="525" spans="1:14" ht="11.25" customHeight="1">
      <c r="A525" s="549"/>
      <c r="B525" s="550"/>
      <c r="C525" s="403"/>
      <c r="D525" s="67">
        <v>2014</v>
      </c>
      <c r="E525" s="25">
        <v>220</v>
      </c>
      <c r="F525" s="26">
        <v>3</v>
      </c>
      <c r="G525" s="25">
        <v>0.085</v>
      </c>
      <c r="H525" s="25">
        <v>306.89</v>
      </c>
      <c r="I525" s="48">
        <v>0.062</v>
      </c>
      <c r="J525" s="48"/>
      <c r="K525" s="48"/>
      <c r="L525" s="48">
        <v>0.036</v>
      </c>
      <c r="M525" s="48"/>
      <c r="N525" s="92"/>
    </row>
    <row r="526" spans="1:14" ht="12" customHeight="1">
      <c r="A526" s="549"/>
      <c r="B526" s="551"/>
      <c r="C526" s="403"/>
      <c r="D526" s="65">
        <v>2015</v>
      </c>
      <c r="E526" s="25">
        <v>220</v>
      </c>
      <c r="F526" s="65">
        <v>3</v>
      </c>
      <c r="G526" s="25">
        <v>0.088</v>
      </c>
      <c r="H526" s="25">
        <v>320.7</v>
      </c>
      <c r="I526" s="65">
        <v>0.066</v>
      </c>
      <c r="J526" s="65"/>
      <c r="K526" s="65"/>
      <c r="L526" s="65">
        <v>0.032</v>
      </c>
      <c r="M526" s="65"/>
      <c r="N526" s="25"/>
    </row>
    <row r="527" spans="1:14" ht="22.5" customHeight="1">
      <c r="A527" s="32">
        <v>74</v>
      </c>
      <c r="B527" s="23" t="s">
        <v>306</v>
      </c>
      <c r="C527" s="308" t="s">
        <v>307</v>
      </c>
      <c r="D527" s="93" t="s">
        <v>437</v>
      </c>
      <c r="E527" s="25">
        <f>SUM(E528:E529)</f>
        <v>57869</v>
      </c>
      <c r="F527" s="67">
        <v>3</v>
      </c>
      <c r="G527" s="25">
        <f>SUM(G528:G529)</f>
        <v>0.31</v>
      </c>
      <c r="H527" s="25">
        <f>SUM(H528:H529)</f>
        <v>686.23</v>
      </c>
      <c r="I527" s="48">
        <f>SUM(I528:I529)</f>
        <v>0.262</v>
      </c>
      <c r="J527" s="48"/>
      <c r="K527" s="48"/>
      <c r="L527" s="48"/>
      <c r="M527" s="92"/>
      <c r="N527" s="65"/>
    </row>
    <row r="528" spans="1:14" ht="12.75" customHeight="1">
      <c r="A528" s="34"/>
      <c r="B528" s="33"/>
      <c r="C528" s="308"/>
      <c r="D528" s="67">
        <v>2012</v>
      </c>
      <c r="E528" s="25">
        <v>24276</v>
      </c>
      <c r="F528" s="67">
        <v>3</v>
      </c>
      <c r="G528" s="25">
        <v>0.2</v>
      </c>
      <c r="H528" s="25">
        <v>445.26</v>
      </c>
      <c r="I528" s="48">
        <v>0.17</v>
      </c>
      <c r="J528" s="48"/>
      <c r="K528" s="48"/>
      <c r="L528" s="48"/>
      <c r="M528" s="92"/>
      <c r="N528" s="65"/>
    </row>
    <row r="529" spans="1:14" ht="12.75" customHeight="1">
      <c r="A529" s="37"/>
      <c r="B529" s="76"/>
      <c r="C529" s="308"/>
      <c r="D529" s="67">
        <v>2015</v>
      </c>
      <c r="E529" s="25">
        <v>33593</v>
      </c>
      <c r="F529" s="67">
        <v>3</v>
      </c>
      <c r="G529" s="25">
        <v>0.11</v>
      </c>
      <c r="H529" s="25">
        <v>240.97</v>
      </c>
      <c r="I529" s="48">
        <v>0.092</v>
      </c>
      <c r="J529" s="48"/>
      <c r="K529" s="48"/>
      <c r="L529" s="48"/>
      <c r="M529" s="92"/>
      <c r="N529" s="65"/>
    </row>
    <row r="530" spans="1:14" ht="21.75" customHeight="1">
      <c r="A530" s="32"/>
      <c r="B530" s="23"/>
      <c r="C530" s="308" t="s">
        <v>308</v>
      </c>
      <c r="D530" s="91" t="s">
        <v>436</v>
      </c>
      <c r="E530" s="25">
        <f>SUM(E531:E532)</f>
        <v>2400</v>
      </c>
      <c r="F530" s="67">
        <v>3</v>
      </c>
      <c r="G530" s="25">
        <f>SUM(G531:G532)</f>
        <v>0.3</v>
      </c>
      <c r="H530" s="25">
        <f>SUM(H531:H532)</f>
        <v>671.7</v>
      </c>
      <c r="I530" s="94">
        <f>SUM(I531:I532)</f>
        <v>0.26</v>
      </c>
      <c r="J530" s="48"/>
      <c r="K530" s="48"/>
      <c r="L530" s="48"/>
      <c r="M530" s="92"/>
      <c r="N530" s="65"/>
    </row>
    <row r="531" spans="1:14" ht="12" customHeight="1">
      <c r="A531" s="34"/>
      <c r="B531" s="33"/>
      <c r="C531" s="308"/>
      <c r="D531" s="67">
        <v>2011</v>
      </c>
      <c r="E531" s="25">
        <v>1200</v>
      </c>
      <c r="F531" s="67">
        <v>3</v>
      </c>
      <c r="G531" s="25">
        <v>0.15</v>
      </c>
      <c r="H531" s="25">
        <v>335.85</v>
      </c>
      <c r="I531" s="94">
        <v>0.13</v>
      </c>
      <c r="J531" s="48"/>
      <c r="K531" s="48"/>
      <c r="L531" s="48"/>
      <c r="M531" s="92"/>
      <c r="N531" s="65"/>
    </row>
    <row r="532" spans="1:14" ht="12" customHeight="1">
      <c r="A532" s="34"/>
      <c r="B532" s="33"/>
      <c r="C532" s="308"/>
      <c r="D532" s="67">
        <v>2012</v>
      </c>
      <c r="E532" s="25">
        <v>1200</v>
      </c>
      <c r="F532" s="67">
        <v>3</v>
      </c>
      <c r="G532" s="25">
        <v>0.15</v>
      </c>
      <c r="H532" s="25">
        <v>335.85</v>
      </c>
      <c r="I532" s="94">
        <v>0.13</v>
      </c>
      <c r="J532" s="48"/>
      <c r="K532" s="48"/>
      <c r="L532" s="48"/>
      <c r="M532" s="92"/>
      <c r="N532" s="65"/>
    </row>
    <row r="533" spans="1:14" ht="22.5" customHeight="1">
      <c r="A533" s="34"/>
      <c r="B533" s="33"/>
      <c r="C533" s="308" t="s">
        <v>309</v>
      </c>
      <c r="D533" s="91" t="s">
        <v>435</v>
      </c>
      <c r="E533" s="25">
        <f>SUM(E534:E535)</f>
        <v>40500</v>
      </c>
      <c r="F533" s="67">
        <v>3</v>
      </c>
      <c r="G533" s="25">
        <f>SUM(G534:G535)</f>
        <v>6.42</v>
      </c>
      <c r="H533" s="25">
        <f>SUM(H534:H535)</f>
        <v>14298</v>
      </c>
      <c r="I533" s="48">
        <f>SUM(I534:I535)</f>
        <v>5.534</v>
      </c>
      <c r="J533" s="48"/>
      <c r="K533" s="48"/>
      <c r="L533" s="48"/>
      <c r="M533" s="92"/>
      <c r="N533" s="65"/>
    </row>
    <row r="534" spans="1:14" ht="11.25" customHeight="1">
      <c r="A534" s="34"/>
      <c r="B534" s="33"/>
      <c r="C534" s="308"/>
      <c r="D534" s="67">
        <v>2011</v>
      </c>
      <c r="E534" s="25">
        <v>7400</v>
      </c>
      <c r="F534" s="67">
        <v>3</v>
      </c>
      <c r="G534" s="25">
        <v>1.07</v>
      </c>
      <c r="H534" s="25">
        <v>2382</v>
      </c>
      <c r="I534" s="48">
        <v>0.922</v>
      </c>
      <c r="J534" s="48"/>
      <c r="K534" s="48"/>
      <c r="L534" s="48"/>
      <c r="M534" s="92"/>
      <c r="N534" s="65"/>
    </row>
    <row r="535" spans="1:14" ht="12.75" customHeight="1">
      <c r="A535" s="37"/>
      <c r="B535" s="76"/>
      <c r="C535" s="308"/>
      <c r="D535" s="67">
        <v>2012</v>
      </c>
      <c r="E535" s="25">
        <v>33100</v>
      </c>
      <c r="F535" s="67">
        <v>3</v>
      </c>
      <c r="G535" s="25">
        <v>5.35</v>
      </c>
      <c r="H535" s="25">
        <v>11916</v>
      </c>
      <c r="I535" s="48">
        <v>4.612</v>
      </c>
      <c r="J535" s="48"/>
      <c r="K535" s="48"/>
      <c r="L535" s="48"/>
      <c r="M535" s="92"/>
      <c r="N535" s="65"/>
    </row>
    <row r="536" spans="1:14" ht="23.25" customHeight="1">
      <c r="A536" s="349">
        <v>75</v>
      </c>
      <c r="B536" s="673" t="s">
        <v>355</v>
      </c>
      <c r="C536" s="552" t="s">
        <v>308</v>
      </c>
      <c r="D536" s="91" t="s">
        <v>434</v>
      </c>
      <c r="E536" s="25">
        <f>SUM(E537:E538)</f>
        <v>5220</v>
      </c>
      <c r="F536" s="67">
        <v>3</v>
      </c>
      <c r="G536" s="25">
        <f>SUM(G537:G538)</f>
        <v>0.3</v>
      </c>
      <c r="H536" s="25">
        <f>SUM(H537:H538)</f>
        <v>6020.3</v>
      </c>
      <c r="I536" s="48"/>
      <c r="J536" s="48"/>
      <c r="K536" s="92"/>
      <c r="L536" s="48">
        <f>SUM(L537:L538)</f>
        <v>0.85</v>
      </c>
      <c r="M536" s="95"/>
      <c r="N536" s="95"/>
    </row>
    <row r="537" spans="1:14" ht="11.25" customHeight="1">
      <c r="A537" s="403"/>
      <c r="B537" s="674"/>
      <c r="C537" s="552"/>
      <c r="D537" s="67">
        <v>2013</v>
      </c>
      <c r="E537" s="25">
        <v>4000</v>
      </c>
      <c r="F537" s="67">
        <v>3</v>
      </c>
      <c r="G537" s="25">
        <v>0.15</v>
      </c>
      <c r="H537" s="25">
        <v>3010.15</v>
      </c>
      <c r="I537" s="48"/>
      <c r="J537" s="48"/>
      <c r="K537" s="92"/>
      <c r="L537" s="65">
        <v>0.425</v>
      </c>
      <c r="M537" s="95"/>
      <c r="N537" s="95"/>
    </row>
    <row r="538" spans="1:14" ht="12.75" customHeight="1">
      <c r="A538" s="403"/>
      <c r="B538" s="674"/>
      <c r="C538" s="552"/>
      <c r="D538" s="67">
        <v>2014</v>
      </c>
      <c r="E538" s="25">
        <v>1220</v>
      </c>
      <c r="F538" s="67">
        <v>3</v>
      </c>
      <c r="G538" s="25">
        <v>0.15</v>
      </c>
      <c r="H538" s="25">
        <v>3010.15</v>
      </c>
      <c r="I538" s="48"/>
      <c r="J538" s="48"/>
      <c r="K538" s="92"/>
      <c r="L538" s="65">
        <v>0.425</v>
      </c>
      <c r="M538" s="95"/>
      <c r="N538" s="95"/>
    </row>
    <row r="539" spans="1:14" ht="21.75" customHeight="1">
      <c r="A539" s="24">
        <v>76</v>
      </c>
      <c r="B539" s="96" t="s">
        <v>200</v>
      </c>
      <c r="C539" s="97" t="s">
        <v>307</v>
      </c>
      <c r="D539" s="67">
        <v>2015</v>
      </c>
      <c r="E539" s="25">
        <v>17383</v>
      </c>
      <c r="F539" s="67">
        <v>3</v>
      </c>
      <c r="G539" s="25">
        <v>1.053</v>
      </c>
      <c r="H539" s="25">
        <v>1380</v>
      </c>
      <c r="I539" s="48"/>
      <c r="J539" s="48"/>
      <c r="K539" s="92"/>
      <c r="L539" s="98">
        <v>3</v>
      </c>
      <c r="M539" s="99"/>
      <c r="N539" s="99"/>
    </row>
    <row r="540" spans="1:14" ht="34.5" customHeight="1">
      <c r="A540" s="24">
        <v>77</v>
      </c>
      <c r="B540" s="96" t="s">
        <v>201</v>
      </c>
      <c r="C540" s="97" t="s">
        <v>307</v>
      </c>
      <c r="D540" s="67">
        <v>2015</v>
      </c>
      <c r="E540" s="25">
        <v>36727.1</v>
      </c>
      <c r="F540" s="67">
        <v>3</v>
      </c>
      <c r="G540" s="25">
        <v>1.053</v>
      </c>
      <c r="H540" s="25">
        <v>1380</v>
      </c>
      <c r="I540" s="48"/>
      <c r="J540" s="48"/>
      <c r="K540" s="92"/>
      <c r="L540" s="98">
        <v>3</v>
      </c>
      <c r="M540" s="99"/>
      <c r="N540" s="99"/>
    </row>
    <row r="541" spans="1:14" ht="55.5" customHeight="1">
      <c r="A541" s="24">
        <v>78</v>
      </c>
      <c r="B541" s="96" t="s">
        <v>310</v>
      </c>
      <c r="C541" s="97" t="s">
        <v>312</v>
      </c>
      <c r="D541" s="91">
        <v>2011</v>
      </c>
      <c r="E541" s="25">
        <v>183.3</v>
      </c>
      <c r="F541" s="67">
        <v>3</v>
      </c>
      <c r="G541" s="25">
        <v>0.024</v>
      </c>
      <c r="H541" s="25">
        <v>53.5</v>
      </c>
      <c r="I541" s="48"/>
      <c r="J541" s="48"/>
      <c r="K541" s="92"/>
      <c r="L541" s="98">
        <v>0.069</v>
      </c>
      <c r="M541" s="99"/>
      <c r="N541" s="99"/>
    </row>
    <row r="542" spans="1:14" ht="22.5" customHeight="1">
      <c r="A542" s="403">
        <v>79</v>
      </c>
      <c r="B542" s="662" t="s">
        <v>311</v>
      </c>
      <c r="C542" s="547" t="s">
        <v>312</v>
      </c>
      <c r="D542" s="100" t="s">
        <v>433</v>
      </c>
      <c r="E542" s="25">
        <f>SUM(E543:E544)</f>
        <v>146</v>
      </c>
      <c r="F542" s="67">
        <v>3</v>
      </c>
      <c r="G542" s="25">
        <f>SUM(G543:G544)</f>
        <v>0.03</v>
      </c>
      <c r="H542" s="25">
        <f>SUM(H543:H544)</f>
        <v>65.6</v>
      </c>
      <c r="I542" s="48"/>
      <c r="J542" s="48"/>
      <c r="K542" s="92"/>
      <c r="L542" s="98">
        <f>SUM(L543:L544)</f>
        <v>0.085</v>
      </c>
      <c r="M542" s="99"/>
      <c r="N542" s="99"/>
    </row>
    <row r="543" spans="1:14" ht="12.75" customHeight="1">
      <c r="A543" s="403"/>
      <c r="B543" s="662"/>
      <c r="C543" s="547"/>
      <c r="D543" s="91">
        <v>2012</v>
      </c>
      <c r="E543" s="25">
        <v>116.8</v>
      </c>
      <c r="F543" s="67">
        <v>3</v>
      </c>
      <c r="G543" s="25">
        <v>0.024</v>
      </c>
      <c r="H543" s="25">
        <v>52.5</v>
      </c>
      <c r="I543" s="48"/>
      <c r="J543" s="48"/>
      <c r="K543" s="92"/>
      <c r="L543" s="98">
        <v>0.068</v>
      </c>
      <c r="M543" s="99"/>
      <c r="N543" s="99"/>
    </row>
    <row r="544" spans="1:14" ht="12.75" customHeight="1">
      <c r="A544" s="403"/>
      <c r="B544" s="662"/>
      <c r="C544" s="547"/>
      <c r="D544" s="97">
        <v>2013</v>
      </c>
      <c r="E544" s="25">
        <v>29.2</v>
      </c>
      <c r="F544" s="67">
        <v>3</v>
      </c>
      <c r="G544" s="25">
        <v>0.006</v>
      </c>
      <c r="H544" s="25">
        <v>13.1</v>
      </c>
      <c r="I544" s="98"/>
      <c r="J544" s="99"/>
      <c r="K544" s="99"/>
      <c r="L544" s="9">
        <v>0.017</v>
      </c>
      <c r="M544" s="43"/>
      <c r="N544" s="43"/>
    </row>
    <row r="545" spans="1:14" ht="35.25" customHeight="1">
      <c r="A545" s="101" t="s">
        <v>332</v>
      </c>
      <c r="B545" s="96" t="s">
        <v>47</v>
      </c>
      <c r="C545" s="91" t="s">
        <v>48</v>
      </c>
      <c r="D545" s="67">
        <v>2013</v>
      </c>
      <c r="E545" s="25">
        <v>490</v>
      </c>
      <c r="F545" s="67">
        <v>3</v>
      </c>
      <c r="G545" s="25">
        <f>I545*1.149</f>
        <v>0.031023</v>
      </c>
      <c r="H545" s="25">
        <v>79.864</v>
      </c>
      <c r="I545" s="48">
        <v>0.027</v>
      </c>
      <c r="J545" s="48"/>
      <c r="K545" s="92"/>
      <c r="L545" s="65"/>
      <c r="M545" s="95"/>
      <c r="N545" s="95"/>
    </row>
    <row r="546" spans="1:14" ht="22.5" customHeight="1">
      <c r="A546" s="553" t="s">
        <v>333</v>
      </c>
      <c r="B546" s="555" t="s">
        <v>49</v>
      </c>
      <c r="C546" s="557" t="s">
        <v>50</v>
      </c>
      <c r="D546" s="91" t="s">
        <v>434</v>
      </c>
      <c r="E546" s="25"/>
      <c r="F546" s="67"/>
      <c r="G546" s="25">
        <f>SUM(G547:G549)</f>
        <v>0.260054</v>
      </c>
      <c r="H546" s="25">
        <f>SUM(H547:H549)</f>
        <v>894.46</v>
      </c>
      <c r="I546" s="48">
        <f>SUM(I547:I549)</f>
        <v>0.14600000000000002</v>
      </c>
      <c r="J546" s="48"/>
      <c r="K546" s="92"/>
      <c r="L546" s="65">
        <f>SUM(L548:L549)</f>
        <v>0.267</v>
      </c>
      <c r="M546" s="95"/>
      <c r="N546" s="95"/>
    </row>
    <row r="547" spans="1:14" ht="12.75" customHeight="1">
      <c r="A547" s="554"/>
      <c r="B547" s="556"/>
      <c r="C547" s="558"/>
      <c r="D547" s="67">
        <v>2013</v>
      </c>
      <c r="E547" s="25"/>
      <c r="F547" s="67"/>
      <c r="G547" s="25">
        <f>I547*1.149</f>
        <v>0.048258</v>
      </c>
      <c r="H547" s="25">
        <v>178.09</v>
      </c>
      <c r="I547" s="48">
        <v>0.042</v>
      </c>
      <c r="J547" s="48"/>
      <c r="K547" s="92"/>
      <c r="L547" s="65"/>
      <c r="M547" s="95"/>
      <c r="N547" s="95"/>
    </row>
    <row r="548" spans="1:14" ht="12.75" customHeight="1">
      <c r="A548" s="554"/>
      <c r="B548" s="556"/>
      <c r="C548" s="558"/>
      <c r="D548" s="67">
        <v>2014</v>
      </c>
      <c r="E548" s="25"/>
      <c r="F548" s="67"/>
      <c r="G548" s="25">
        <f>L548*0.325+I548*1.149</f>
        <v>0.050568999999999996</v>
      </c>
      <c r="H548" s="25">
        <v>193.22</v>
      </c>
      <c r="I548" s="48">
        <v>0.031</v>
      </c>
      <c r="J548" s="48"/>
      <c r="K548" s="92"/>
      <c r="L548" s="65">
        <v>0.046</v>
      </c>
      <c r="M548" s="95"/>
      <c r="N548" s="95"/>
    </row>
    <row r="549" spans="1:14" ht="12.75" customHeight="1">
      <c r="A549" s="554"/>
      <c r="B549" s="556"/>
      <c r="C549" s="558"/>
      <c r="D549" s="67">
        <v>2015</v>
      </c>
      <c r="E549" s="25"/>
      <c r="F549" s="67"/>
      <c r="G549" s="25">
        <f>L549*0.35+I549*1.149</f>
        <v>0.161227</v>
      </c>
      <c r="H549" s="25">
        <v>523.15</v>
      </c>
      <c r="I549" s="48">
        <v>0.073</v>
      </c>
      <c r="J549" s="48"/>
      <c r="K549" s="92"/>
      <c r="L549" s="65">
        <v>0.221</v>
      </c>
      <c r="M549" s="95"/>
      <c r="N549" s="95"/>
    </row>
    <row r="550" spans="1:14" ht="11.25" customHeight="1">
      <c r="A550" s="403"/>
      <c r="B550" s="663" t="s">
        <v>116</v>
      </c>
      <c r="C550" s="547"/>
      <c r="D550" s="560" t="s">
        <v>432</v>
      </c>
      <c r="E550" s="536">
        <f>SUM(E556+E555+E554+E553+E552)</f>
        <v>166210.81</v>
      </c>
      <c r="F550" s="548">
        <v>3</v>
      </c>
      <c r="G550" s="536">
        <f>SUM(G552:G556)</f>
        <v>10.835077000000002</v>
      </c>
      <c r="H550" s="536">
        <f>SUM(H556+H555+H554+H553+H552)</f>
        <v>27936.704</v>
      </c>
      <c r="I550" s="537">
        <f>SUM(I556+I555+I554+I553+I552)</f>
        <v>6.693</v>
      </c>
      <c r="J550" s="537"/>
      <c r="K550" s="559"/>
      <c r="L550" s="537">
        <f>SUM(L556+L555+L554+L553+L552)</f>
        <v>8.716000000000001</v>
      </c>
      <c r="M550" s="537"/>
      <c r="N550" s="537"/>
    </row>
    <row r="551" spans="1:14" ht="10.5" customHeight="1">
      <c r="A551" s="403"/>
      <c r="B551" s="663"/>
      <c r="C551" s="547"/>
      <c r="D551" s="560"/>
      <c r="E551" s="536"/>
      <c r="F551" s="548"/>
      <c r="G551" s="536"/>
      <c r="H551" s="536"/>
      <c r="I551" s="537"/>
      <c r="J551" s="537"/>
      <c r="K551" s="559"/>
      <c r="L551" s="537"/>
      <c r="M551" s="537"/>
      <c r="N551" s="537"/>
    </row>
    <row r="552" spans="1:14" ht="12.75" customHeight="1">
      <c r="A552" s="403"/>
      <c r="B552" s="663"/>
      <c r="C552" s="547"/>
      <c r="D552" s="103">
        <v>2011</v>
      </c>
      <c r="E552" s="50">
        <v>9462.9</v>
      </c>
      <c r="F552" s="69">
        <v>3</v>
      </c>
      <c r="G552" s="50">
        <v>1.42</v>
      </c>
      <c r="H552" s="50">
        <v>3096.09</v>
      </c>
      <c r="I552" s="70">
        <v>1.119</v>
      </c>
      <c r="J552" s="70"/>
      <c r="K552" s="70"/>
      <c r="L552" s="70">
        <f>SUM(L502+L515+L522+L541)</f>
        <v>0.346</v>
      </c>
      <c r="M552" s="70"/>
      <c r="N552" s="70"/>
    </row>
    <row r="553" spans="1:14" ht="12.75" customHeight="1">
      <c r="A553" s="403"/>
      <c r="B553" s="663"/>
      <c r="C553" s="547"/>
      <c r="D553" s="69">
        <v>2012</v>
      </c>
      <c r="E553" s="50">
        <f>E503+E509+E516+E523+E528+E532+E535+E543</f>
        <v>59329.03</v>
      </c>
      <c r="F553" s="69">
        <v>3</v>
      </c>
      <c r="G553" s="50">
        <f>G503+G509+G516+G523+G528+G532+G535+G543</f>
        <v>5.95</v>
      </c>
      <c r="H553" s="50">
        <f>H503+H509+H516+H523+H528+H532+H535+H543</f>
        <v>13150.19</v>
      </c>
      <c r="I553" s="70">
        <f>I503+I509+I516+I523+I528+I532+I535+I543</f>
        <v>4.981</v>
      </c>
      <c r="J553" s="70"/>
      <c r="K553" s="70"/>
      <c r="L553" s="70">
        <f>L503+L509+L516+L523+L528+L532+L535+L543</f>
        <v>0.456</v>
      </c>
      <c r="M553" s="102"/>
      <c r="N553" s="102"/>
    </row>
    <row r="554" spans="1:14" ht="12.75" customHeight="1">
      <c r="A554" s="403"/>
      <c r="B554" s="663"/>
      <c r="C554" s="547"/>
      <c r="D554" s="69">
        <v>2013</v>
      </c>
      <c r="E554" s="50">
        <f>E504+E511+E517+E520+E524+E537+E544+E545+E547</f>
        <v>5878.91</v>
      </c>
      <c r="F554" s="69">
        <v>3</v>
      </c>
      <c r="G554" s="50">
        <f>G504+G511+G517+G520+G524+G537+G544+G545+G547</f>
        <v>0.554281</v>
      </c>
      <c r="H554" s="50">
        <f>H504+H511+H517+H520+H524+H537+H544+H545+H547</f>
        <v>4024.3540000000003</v>
      </c>
      <c r="I554" s="70">
        <f>I504+I511+I517+I520+I524+I537+I544+I545+I547</f>
        <v>0.229</v>
      </c>
      <c r="J554" s="70"/>
      <c r="K554" s="70"/>
      <c r="L554" s="70">
        <f>L504+L511+L517+L520+L524+L537+L544+L545+L547</f>
        <v>0.8059999999999999</v>
      </c>
      <c r="M554" s="102"/>
      <c r="N554" s="102"/>
    </row>
    <row r="555" spans="1:14" ht="12.75" customHeight="1">
      <c r="A555" s="403"/>
      <c r="B555" s="663"/>
      <c r="C555" s="547"/>
      <c r="D555" s="69">
        <v>2014</v>
      </c>
      <c r="E555" s="50">
        <f>E505+E512+E518+E525+E538+E548</f>
        <v>2522.91</v>
      </c>
      <c r="F555" s="69">
        <v>3</v>
      </c>
      <c r="G555" s="50">
        <f>G505+G512+G518+G525+G538+G548</f>
        <v>0.365569</v>
      </c>
      <c r="H555" s="50">
        <f>H505+H512+H518+H525+H538+H548</f>
        <v>3662.54</v>
      </c>
      <c r="I555" s="70">
        <f>I505+I512+I518+I525+I538+I548</f>
        <v>0.113</v>
      </c>
      <c r="J555" s="70"/>
      <c r="K555" s="70"/>
      <c r="L555" s="70">
        <f>L505+L512+L518+L525+L538+L548</f>
        <v>0.676</v>
      </c>
      <c r="M555" s="102"/>
      <c r="N555" s="102"/>
    </row>
    <row r="556" spans="1:14" ht="12.75" customHeight="1">
      <c r="A556" s="403"/>
      <c r="B556" s="663"/>
      <c r="C556" s="547"/>
      <c r="D556" s="71">
        <v>2015</v>
      </c>
      <c r="E556" s="50">
        <f>E506+E513+E519+E526+E529+E539+E540+E549</f>
        <v>89017.06</v>
      </c>
      <c r="F556" s="69">
        <v>3</v>
      </c>
      <c r="G556" s="50">
        <f>G506+G513+G519+G526+G529+G539+G540+G549</f>
        <v>2.5452269999999997</v>
      </c>
      <c r="H556" s="50">
        <f>H506+H513+H519+H526+H529+H539+H540+H549</f>
        <v>4003.53</v>
      </c>
      <c r="I556" s="70">
        <f>I506+I513+I519+I526+I529+I539+I540+I549</f>
        <v>0.251</v>
      </c>
      <c r="J556" s="70"/>
      <c r="K556" s="70"/>
      <c r="L556" s="70">
        <f>L506+L513+L519+L526+L529+L539+L540+L549</f>
        <v>6.432</v>
      </c>
      <c r="M556" s="102"/>
      <c r="N556" s="102"/>
    </row>
    <row r="557" spans="1:14" ht="12.75" customHeight="1">
      <c r="A557" s="302" t="s">
        <v>203</v>
      </c>
      <c r="B557" s="302"/>
      <c r="C557" s="302"/>
      <c r="D557" s="302"/>
      <c r="E557" s="302"/>
      <c r="F557" s="302"/>
      <c r="G557" s="302"/>
      <c r="H557" s="302"/>
      <c r="I557" s="302"/>
      <c r="J557" s="302"/>
      <c r="K557" s="302"/>
      <c r="L557" s="302"/>
      <c r="M557" s="302"/>
      <c r="N557" s="302"/>
    </row>
    <row r="558" spans="1:14" ht="45.75" customHeight="1">
      <c r="A558" s="41">
        <v>80</v>
      </c>
      <c r="B558" s="42" t="s">
        <v>313</v>
      </c>
      <c r="C558" s="24" t="s">
        <v>318</v>
      </c>
      <c r="D558" s="65">
        <v>2011</v>
      </c>
      <c r="E558" s="25">
        <v>1200</v>
      </c>
      <c r="F558" s="65">
        <v>3</v>
      </c>
      <c r="G558" s="25">
        <v>0.75</v>
      </c>
      <c r="H558" s="48"/>
      <c r="I558" s="48"/>
      <c r="J558" s="48"/>
      <c r="K558" s="48"/>
      <c r="L558" s="48"/>
      <c r="M558" s="48">
        <v>5.25</v>
      </c>
      <c r="N558" s="48"/>
    </row>
    <row r="559" spans="1:14" ht="46.5" customHeight="1">
      <c r="A559" s="41">
        <v>81</v>
      </c>
      <c r="B559" s="42" t="s">
        <v>204</v>
      </c>
      <c r="C559" s="24" t="s">
        <v>318</v>
      </c>
      <c r="D559" s="65">
        <v>2011</v>
      </c>
      <c r="E559" s="25">
        <v>7600</v>
      </c>
      <c r="F559" s="65">
        <v>3</v>
      </c>
      <c r="G559" s="25">
        <v>0.66</v>
      </c>
      <c r="H559" s="48"/>
      <c r="I559" s="48"/>
      <c r="J559" s="48"/>
      <c r="K559" s="48"/>
      <c r="L559" s="48"/>
      <c r="M559" s="48">
        <v>4.62</v>
      </c>
      <c r="N559" s="48"/>
    </row>
    <row r="560" spans="1:14" ht="45.75" customHeight="1">
      <c r="A560" s="41">
        <v>82</v>
      </c>
      <c r="B560" s="42" t="s">
        <v>314</v>
      </c>
      <c r="C560" s="24" t="s">
        <v>318</v>
      </c>
      <c r="D560" s="65">
        <v>2011</v>
      </c>
      <c r="E560" s="25">
        <v>7000</v>
      </c>
      <c r="F560" s="65">
        <v>3</v>
      </c>
      <c r="G560" s="25">
        <v>10</v>
      </c>
      <c r="H560" s="25">
        <v>21750</v>
      </c>
      <c r="I560" s="48">
        <v>8.7</v>
      </c>
      <c r="J560" s="48"/>
      <c r="K560" s="48"/>
      <c r="L560" s="48"/>
      <c r="M560" s="48"/>
      <c r="N560" s="48"/>
    </row>
    <row r="561" spans="1:14" ht="89.25" customHeight="1">
      <c r="A561" s="41">
        <v>83</v>
      </c>
      <c r="B561" s="42" t="s">
        <v>315</v>
      </c>
      <c r="C561" s="24" t="s">
        <v>318</v>
      </c>
      <c r="D561" s="65">
        <v>2011</v>
      </c>
      <c r="E561" s="25">
        <v>15000</v>
      </c>
      <c r="F561" s="65">
        <v>3</v>
      </c>
      <c r="G561" s="25">
        <v>44.37</v>
      </c>
      <c r="H561" s="25">
        <v>95625</v>
      </c>
      <c r="I561" s="48">
        <v>38.25</v>
      </c>
      <c r="J561" s="48"/>
      <c r="K561" s="48"/>
      <c r="L561" s="48"/>
      <c r="M561" s="48"/>
      <c r="N561" s="48"/>
    </row>
    <row r="562" spans="1:14" ht="45.75" customHeight="1">
      <c r="A562" s="41">
        <v>84</v>
      </c>
      <c r="B562" s="42" t="s">
        <v>408</v>
      </c>
      <c r="C562" s="24" t="s">
        <v>409</v>
      </c>
      <c r="D562" s="65">
        <v>2011</v>
      </c>
      <c r="E562" s="25">
        <v>927</v>
      </c>
      <c r="F562" s="65">
        <v>3</v>
      </c>
      <c r="G562" s="25">
        <v>2.842</v>
      </c>
      <c r="H562" s="25">
        <v>6125</v>
      </c>
      <c r="I562" s="48">
        <v>2.45</v>
      </c>
      <c r="J562" s="48"/>
      <c r="K562" s="48"/>
      <c r="L562" s="48"/>
      <c r="M562" s="48"/>
      <c r="N562" s="48"/>
    </row>
    <row r="563" spans="1:14" ht="46.5" customHeight="1">
      <c r="A563" s="41">
        <v>85</v>
      </c>
      <c r="B563" s="42" t="s">
        <v>6</v>
      </c>
      <c r="C563" s="24" t="s">
        <v>318</v>
      </c>
      <c r="D563" s="65">
        <v>2011</v>
      </c>
      <c r="E563" s="25">
        <v>15353</v>
      </c>
      <c r="F563" s="65">
        <v>3</v>
      </c>
      <c r="G563" s="25">
        <v>10.25</v>
      </c>
      <c r="H563" s="25">
        <v>22090</v>
      </c>
      <c r="I563" s="48">
        <v>8.836</v>
      </c>
      <c r="J563" s="48"/>
      <c r="K563" s="48"/>
      <c r="L563" s="48"/>
      <c r="M563" s="48"/>
      <c r="N563" s="48"/>
    </row>
    <row r="564" spans="1:14" ht="24.75" customHeight="1">
      <c r="A564" s="41">
        <v>86</v>
      </c>
      <c r="B564" s="42" t="s">
        <v>206</v>
      </c>
      <c r="C564" s="24" t="s">
        <v>318</v>
      </c>
      <c r="D564" s="65">
        <v>2011</v>
      </c>
      <c r="E564" s="25">
        <v>15000</v>
      </c>
      <c r="F564" s="65">
        <v>3</v>
      </c>
      <c r="G564" s="25">
        <v>11.279</v>
      </c>
      <c r="H564" s="25"/>
      <c r="I564" s="48"/>
      <c r="J564" s="48"/>
      <c r="K564" s="48"/>
      <c r="L564" s="48">
        <v>32.136</v>
      </c>
      <c r="M564" s="48"/>
      <c r="N564" s="48"/>
    </row>
    <row r="565" spans="1:14" ht="47.25" customHeight="1">
      <c r="A565" s="41">
        <v>87</v>
      </c>
      <c r="B565" s="42" t="s">
        <v>317</v>
      </c>
      <c r="C565" s="24" t="s">
        <v>318</v>
      </c>
      <c r="D565" s="65">
        <v>2012</v>
      </c>
      <c r="E565" s="25">
        <v>80800</v>
      </c>
      <c r="F565" s="65">
        <v>3</v>
      </c>
      <c r="G565" s="25">
        <v>21.38</v>
      </c>
      <c r="H565" s="25">
        <v>90000</v>
      </c>
      <c r="I565" s="48">
        <v>36</v>
      </c>
      <c r="J565" s="48"/>
      <c r="K565" s="48"/>
      <c r="L565" s="48">
        <v>24.9</v>
      </c>
      <c r="M565" s="48"/>
      <c r="N565" s="48"/>
    </row>
    <row r="566" spans="1:14" ht="68.25" customHeight="1">
      <c r="A566" s="41">
        <v>88</v>
      </c>
      <c r="B566" s="42" t="s">
        <v>7</v>
      </c>
      <c r="C566" s="24" t="s">
        <v>318</v>
      </c>
      <c r="D566" s="65">
        <v>2012</v>
      </c>
      <c r="E566" s="25">
        <v>20000</v>
      </c>
      <c r="F566" s="65">
        <v>3</v>
      </c>
      <c r="G566" s="25">
        <v>3.69</v>
      </c>
      <c r="H566" s="25">
        <v>7942.5</v>
      </c>
      <c r="I566" s="48">
        <v>3.177</v>
      </c>
      <c r="J566" s="48"/>
      <c r="K566" s="48"/>
      <c r="L566" s="48"/>
      <c r="M566" s="48"/>
      <c r="N566" s="48"/>
    </row>
    <row r="567" spans="1:14" ht="47.25" customHeight="1">
      <c r="A567" s="41">
        <v>89</v>
      </c>
      <c r="B567" s="42" t="s">
        <v>316</v>
      </c>
      <c r="C567" s="24" t="s">
        <v>318</v>
      </c>
      <c r="D567" s="65">
        <v>2012</v>
      </c>
      <c r="E567" s="25">
        <v>15353</v>
      </c>
      <c r="F567" s="65">
        <v>3</v>
      </c>
      <c r="G567" s="25">
        <v>9.61</v>
      </c>
      <c r="H567" s="25">
        <v>20705</v>
      </c>
      <c r="I567" s="48">
        <v>8.282</v>
      </c>
      <c r="J567" s="48"/>
      <c r="K567" s="48"/>
      <c r="L567" s="48"/>
      <c r="M567" s="48"/>
      <c r="N567" s="48"/>
    </row>
    <row r="568" spans="1:14" ht="70.5" customHeight="1">
      <c r="A568" s="41">
        <v>90</v>
      </c>
      <c r="B568" s="42" t="s">
        <v>365</v>
      </c>
      <c r="C568" s="24" t="s">
        <v>318</v>
      </c>
      <c r="D568" s="65">
        <v>2013</v>
      </c>
      <c r="E568" s="25">
        <v>141400</v>
      </c>
      <c r="F568" s="65">
        <v>3</v>
      </c>
      <c r="G568" s="48">
        <v>11.6</v>
      </c>
      <c r="H568" s="25">
        <v>25000</v>
      </c>
      <c r="I568" s="48">
        <v>10</v>
      </c>
      <c r="J568" s="48"/>
      <c r="K568" s="48"/>
      <c r="L568" s="48"/>
      <c r="M568" s="48"/>
      <c r="N568" s="48"/>
    </row>
    <row r="569" spans="1:14" ht="55.5" customHeight="1">
      <c r="A569" s="41">
        <v>91</v>
      </c>
      <c r="B569" s="42" t="s">
        <v>205</v>
      </c>
      <c r="C569" s="24" t="s">
        <v>318</v>
      </c>
      <c r="D569" s="65">
        <v>2014</v>
      </c>
      <c r="E569" s="25">
        <v>75750</v>
      </c>
      <c r="F569" s="65">
        <v>3</v>
      </c>
      <c r="G569" s="48">
        <v>38.28</v>
      </c>
      <c r="H569" s="25">
        <v>82500</v>
      </c>
      <c r="I569" s="48">
        <v>33</v>
      </c>
      <c r="J569" s="48"/>
      <c r="K569" s="48"/>
      <c r="L569" s="48"/>
      <c r="M569" s="48"/>
      <c r="N569" s="48"/>
    </row>
    <row r="570" spans="1:14" ht="21.75" customHeight="1">
      <c r="A570" s="417"/>
      <c r="B570" s="505" t="s">
        <v>8</v>
      </c>
      <c r="C570" s="417"/>
      <c r="D570" s="104" t="s">
        <v>431</v>
      </c>
      <c r="E570" s="105">
        <f>SUM(E571:E574)</f>
        <v>395383</v>
      </c>
      <c r="F570" s="65">
        <v>3</v>
      </c>
      <c r="G570" s="105">
        <f>SUM(G571:G574)</f>
        <v>164.71</v>
      </c>
      <c r="H570" s="105">
        <f>SUM(H571:H574)</f>
        <v>371737.5</v>
      </c>
      <c r="I570" s="106">
        <f>SUM(I571:I574)</f>
        <v>148.695</v>
      </c>
      <c r="J570" s="106"/>
      <c r="K570" s="106"/>
      <c r="L570" s="106">
        <f>SUM(L571:L574)</f>
        <v>57.036</v>
      </c>
      <c r="M570" s="106">
        <f>SUM(M571:M574)</f>
        <v>9.870000000000001</v>
      </c>
      <c r="N570" s="107"/>
    </row>
    <row r="571" spans="1:14" ht="12.75" customHeight="1">
      <c r="A571" s="417"/>
      <c r="B571" s="505"/>
      <c r="C571" s="417"/>
      <c r="D571" s="108">
        <v>2011</v>
      </c>
      <c r="E571" s="105">
        <f>SUM(E558+E559+E560+E561+E562+E563+E564)</f>
        <v>62080</v>
      </c>
      <c r="F571" s="65">
        <v>3</v>
      </c>
      <c r="G571" s="105">
        <v>80.15</v>
      </c>
      <c r="H571" s="105">
        <v>145590</v>
      </c>
      <c r="I571" s="106">
        <f>SUM(I558+I559+I560+I561+I562+I563+I564)</f>
        <v>58.236000000000004</v>
      </c>
      <c r="J571" s="106"/>
      <c r="K571" s="106"/>
      <c r="L571" s="106">
        <f>SUM(L558+L559+L560+L561+L562+L563+L564)</f>
        <v>32.136</v>
      </c>
      <c r="M571" s="106">
        <f>SUM(M558+M559+M560+M561+M562+M563+M564)</f>
        <v>9.870000000000001</v>
      </c>
      <c r="N571" s="109"/>
    </row>
    <row r="572" spans="1:14" ht="12.75" customHeight="1">
      <c r="A572" s="417"/>
      <c r="B572" s="505"/>
      <c r="C572" s="417"/>
      <c r="D572" s="108">
        <v>2012</v>
      </c>
      <c r="E572" s="105">
        <f>SUM(E565+E566+E567)</f>
        <v>116153</v>
      </c>
      <c r="F572" s="65">
        <v>3</v>
      </c>
      <c r="G572" s="105">
        <f>SUM(G565+G566+G567)</f>
        <v>34.68</v>
      </c>
      <c r="H572" s="105">
        <v>118647.5</v>
      </c>
      <c r="I572" s="106">
        <f>SUM(I565+I566+I567)</f>
        <v>47.459</v>
      </c>
      <c r="J572" s="106"/>
      <c r="K572" s="106"/>
      <c r="L572" s="106">
        <f>SUM(L565+L566+L567)</f>
        <v>24.9</v>
      </c>
      <c r="M572" s="106"/>
      <c r="N572" s="109"/>
    </row>
    <row r="573" spans="1:14" ht="12.75" customHeight="1">
      <c r="A573" s="417"/>
      <c r="B573" s="505"/>
      <c r="C573" s="417"/>
      <c r="D573" s="108">
        <v>2013</v>
      </c>
      <c r="E573" s="105">
        <f>SUM(E568)</f>
        <v>141400</v>
      </c>
      <c r="F573" s="65">
        <v>3</v>
      </c>
      <c r="G573" s="105">
        <f>SUM(G568)</f>
        <v>11.6</v>
      </c>
      <c r="H573" s="105">
        <v>25000</v>
      </c>
      <c r="I573" s="106">
        <f>SUM(I568)</f>
        <v>10</v>
      </c>
      <c r="J573" s="106"/>
      <c r="K573" s="106"/>
      <c r="L573" s="106"/>
      <c r="M573" s="106"/>
      <c r="N573" s="109"/>
    </row>
    <row r="574" spans="1:14" ht="12.75" customHeight="1">
      <c r="A574" s="417"/>
      <c r="B574" s="505"/>
      <c r="C574" s="417"/>
      <c r="D574" s="108">
        <v>2014</v>
      </c>
      <c r="E574" s="105">
        <f>SUM(E569)</f>
        <v>75750</v>
      </c>
      <c r="F574" s="65">
        <v>3</v>
      </c>
      <c r="G574" s="105">
        <f>SUM(G569)</f>
        <v>38.28</v>
      </c>
      <c r="H574" s="105">
        <v>82500</v>
      </c>
      <c r="I574" s="106">
        <f>SUM(I569)</f>
        <v>33</v>
      </c>
      <c r="J574" s="106"/>
      <c r="K574" s="106"/>
      <c r="L574" s="106"/>
      <c r="M574" s="106"/>
      <c r="N574" s="109"/>
    </row>
    <row r="575" spans="1:14" ht="12.75" customHeight="1">
      <c r="A575" s="285" t="s">
        <v>208</v>
      </c>
      <c r="B575" s="285"/>
      <c r="C575" s="285"/>
      <c r="D575" s="285"/>
      <c r="E575" s="285"/>
      <c r="F575" s="285"/>
      <c r="G575" s="285"/>
      <c r="H575" s="285"/>
      <c r="I575" s="285"/>
      <c r="J575" s="285"/>
      <c r="K575" s="285"/>
      <c r="L575" s="285"/>
      <c r="M575" s="285"/>
      <c r="N575" s="285"/>
    </row>
    <row r="576" spans="1:14" ht="21.75" customHeight="1">
      <c r="A576" s="417">
        <v>92</v>
      </c>
      <c r="B576" s="439" t="s">
        <v>9</v>
      </c>
      <c r="C576" s="403" t="s">
        <v>220</v>
      </c>
      <c r="D576" s="56" t="s">
        <v>131</v>
      </c>
      <c r="E576" s="25">
        <f>E577+E578+E579+E580</f>
        <v>800</v>
      </c>
      <c r="F576" s="65">
        <v>3</v>
      </c>
      <c r="G576" s="25">
        <f>G577+G578+G579+G580</f>
        <v>0.83</v>
      </c>
      <c r="H576" s="25">
        <f>H577+H578+H579+H580</f>
        <v>1189.32</v>
      </c>
      <c r="I576" s="48"/>
      <c r="J576" s="48"/>
      <c r="K576" s="48"/>
      <c r="L576" s="48">
        <f>L577+L578+L579+L580</f>
        <v>2.332</v>
      </c>
      <c r="M576" s="48"/>
      <c r="N576" s="48"/>
    </row>
    <row r="577" spans="1:14" ht="12.75" customHeight="1">
      <c r="A577" s="417"/>
      <c r="B577" s="439"/>
      <c r="C577" s="417"/>
      <c r="D577" s="65">
        <v>2011</v>
      </c>
      <c r="E577" s="25">
        <v>200</v>
      </c>
      <c r="F577" s="65">
        <v>3</v>
      </c>
      <c r="G577" s="25">
        <v>0.19</v>
      </c>
      <c r="H577" s="25">
        <v>269.28</v>
      </c>
      <c r="I577" s="48"/>
      <c r="J577" s="48"/>
      <c r="K577" s="48"/>
      <c r="L577" s="48">
        <v>0.528</v>
      </c>
      <c r="M577" s="48"/>
      <c r="N577" s="48"/>
    </row>
    <row r="578" spans="1:14" ht="12.75" customHeight="1">
      <c r="A578" s="417"/>
      <c r="B578" s="439"/>
      <c r="C578" s="417"/>
      <c r="D578" s="65">
        <v>2012</v>
      </c>
      <c r="E578" s="25">
        <v>200</v>
      </c>
      <c r="F578" s="65">
        <v>3</v>
      </c>
      <c r="G578" s="25">
        <v>0.2</v>
      </c>
      <c r="H578" s="25">
        <v>293.76</v>
      </c>
      <c r="I578" s="48"/>
      <c r="J578" s="48"/>
      <c r="K578" s="48"/>
      <c r="L578" s="48">
        <v>0.576</v>
      </c>
      <c r="M578" s="48"/>
      <c r="N578" s="48"/>
    </row>
    <row r="579" spans="1:14" ht="12.75" customHeight="1">
      <c r="A579" s="417"/>
      <c r="B579" s="439"/>
      <c r="C579" s="417"/>
      <c r="D579" s="65">
        <v>2013</v>
      </c>
      <c r="E579" s="25">
        <v>200</v>
      </c>
      <c r="F579" s="65">
        <v>3</v>
      </c>
      <c r="G579" s="25">
        <v>0.22</v>
      </c>
      <c r="H579" s="25">
        <v>313.14</v>
      </c>
      <c r="I579" s="48"/>
      <c r="J579" s="48"/>
      <c r="K579" s="48"/>
      <c r="L579" s="48">
        <v>0.614</v>
      </c>
      <c r="M579" s="48"/>
      <c r="N579" s="48"/>
    </row>
    <row r="580" spans="1:14" ht="12.75" customHeight="1">
      <c r="A580" s="417"/>
      <c r="B580" s="439"/>
      <c r="C580" s="417"/>
      <c r="D580" s="65">
        <v>2014</v>
      </c>
      <c r="E580" s="25">
        <v>200</v>
      </c>
      <c r="F580" s="65">
        <v>3</v>
      </c>
      <c r="G580" s="25">
        <v>0.22</v>
      </c>
      <c r="H580" s="25">
        <v>313.14</v>
      </c>
      <c r="I580" s="48"/>
      <c r="J580" s="48"/>
      <c r="K580" s="48"/>
      <c r="L580" s="48">
        <v>0.614</v>
      </c>
      <c r="M580" s="48"/>
      <c r="N580" s="48"/>
    </row>
    <row r="581" spans="1:14" ht="33" customHeight="1">
      <c r="A581" s="41">
        <v>93</v>
      </c>
      <c r="B581" s="45" t="s">
        <v>209</v>
      </c>
      <c r="C581" s="56" t="s">
        <v>210</v>
      </c>
      <c r="D581" s="65">
        <v>2012</v>
      </c>
      <c r="E581" s="25">
        <v>20000</v>
      </c>
      <c r="F581" s="26">
        <v>4</v>
      </c>
      <c r="G581" s="25">
        <v>3.37</v>
      </c>
      <c r="H581" s="25">
        <v>4490</v>
      </c>
      <c r="I581" s="48"/>
      <c r="J581" s="48"/>
      <c r="K581" s="48">
        <v>4.49</v>
      </c>
      <c r="L581" s="48"/>
      <c r="M581" s="48"/>
      <c r="N581" s="48"/>
    </row>
    <row r="582" spans="1:14" ht="33" customHeight="1">
      <c r="A582" s="41">
        <v>94</v>
      </c>
      <c r="B582" s="45" t="s">
        <v>211</v>
      </c>
      <c r="C582" s="56" t="s">
        <v>210</v>
      </c>
      <c r="D582" s="65">
        <v>2011</v>
      </c>
      <c r="E582" s="25">
        <v>4000</v>
      </c>
      <c r="F582" s="26">
        <v>3</v>
      </c>
      <c r="G582" s="25">
        <v>0.175</v>
      </c>
      <c r="H582" s="25">
        <v>217.5</v>
      </c>
      <c r="I582" s="48"/>
      <c r="J582" s="48"/>
      <c r="K582" s="48"/>
      <c r="L582" s="48">
        <v>0.5</v>
      </c>
      <c r="M582" s="27"/>
      <c r="N582" s="27"/>
    </row>
    <row r="583" spans="1:14" ht="44.25" customHeight="1">
      <c r="A583" s="41">
        <v>95</v>
      </c>
      <c r="B583" s="45" t="s">
        <v>212</v>
      </c>
      <c r="C583" s="56" t="s">
        <v>210</v>
      </c>
      <c r="D583" s="65">
        <v>2011</v>
      </c>
      <c r="E583" s="25">
        <v>2500</v>
      </c>
      <c r="F583" s="26">
        <v>4</v>
      </c>
      <c r="G583" s="25">
        <v>5.475</v>
      </c>
      <c r="H583" s="25">
        <v>7300</v>
      </c>
      <c r="I583" s="48"/>
      <c r="J583" s="48"/>
      <c r="K583" s="48">
        <v>7.3</v>
      </c>
      <c r="L583" s="27"/>
      <c r="M583" s="27"/>
      <c r="N583" s="27"/>
    </row>
    <row r="584" spans="1:14" ht="21" customHeight="1">
      <c r="A584" s="411">
        <v>96</v>
      </c>
      <c r="B584" s="422" t="s">
        <v>181</v>
      </c>
      <c r="C584" s="373" t="s">
        <v>210</v>
      </c>
      <c r="D584" s="56" t="s">
        <v>213</v>
      </c>
      <c r="E584" s="25">
        <v>1600</v>
      </c>
      <c r="F584" s="26">
        <v>4</v>
      </c>
      <c r="G584" s="47">
        <v>0.85</v>
      </c>
      <c r="H584" s="47">
        <v>1044</v>
      </c>
      <c r="I584" s="27"/>
      <c r="J584" s="27"/>
      <c r="K584" s="27"/>
      <c r="L584" s="27">
        <v>2.4</v>
      </c>
      <c r="M584" s="27"/>
      <c r="N584" s="27"/>
    </row>
    <row r="585" spans="1:14" ht="12" customHeight="1">
      <c r="A585" s="394"/>
      <c r="B585" s="398"/>
      <c r="C585" s="408"/>
      <c r="D585" s="65">
        <v>2011</v>
      </c>
      <c r="E585" s="25">
        <v>700</v>
      </c>
      <c r="F585" s="26">
        <v>4</v>
      </c>
      <c r="G585" s="47">
        <v>0.316</v>
      </c>
      <c r="H585" s="47">
        <v>391.5</v>
      </c>
      <c r="I585" s="27"/>
      <c r="J585" s="27"/>
      <c r="K585" s="27"/>
      <c r="L585" s="27">
        <v>0.9</v>
      </c>
      <c r="M585" s="27"/>
      <c r="N585" s="27"/>
    </row>
    <row r="586" spans="1:14" ht="10.5" customHeight="1">
      <c r="A586" s="394"/>
      <c r="B586" s="398"/>
      <c r="C586" s="408"/>
      <c r="D586" s="65">
        <v>2012</v>
      </c>
      <c r="E586" s="25">
        <v>700</v>
      </c>
      <c r="F586" s="26">
        <v>4</v>
      </c>
      <c r="G586" s="47">
        <v>0.316</v>
      </c>
      <c r="H586" s="47">
        <v>391.5</v>
      </c>
      <c r="I586" s="27"/>
      <c r="J586" s="27"/>
      <c r="K586" s="27"/>
      <c r="L586" s="27">
        <v>0.9</v>
      </c>
      <c r="M586" s="27"/>
      <c r="N586" s="27"/>
    </row>
    <row r="587" spans="1:14" ht="12" customHeight="1">
      <c r="A587" s="413"/>
      <c r="B587" s="399"/>
      <c r="C587" s="409"/>
      <c r="D587" s="65">
        <v>2013</v>
      </c>
      <c r="E587" s="25">
        <v>200</v>
      </c>
      <c r="F587" s="26">
        <v>4</v>
      </c>
      <c r="G587" s="47">
        <v>0.21</v>
      </c>
      <c r="H587" s="47">
        <v>261</v>
      </c>
      <c r="I587" s="27"/>
      <c r="J587" s="27"/>
      <c r="K587" s="27"/>
      <c r="L587" s="27">
        <v>0.6</v>
      </c>
      <c r="M587" s="27"/>
      <c r="N587" s="27"/>
    </row>
    <row r="588" spans="1:14" ht="32.25" customHeight="1">
      <c r="A588" s="41">
        <v>97</v>
      </c>
      <c r="B588" s="45" t="s">
        <v>10</v>
      </c>
      <c r="C588" s="56" t="s">
        <v>210</v>
      </c>
      <c r="D588" s="65">
        <v>2011</v>
      </c>
      <c r="E588" s="25">
        <v>1000</v>
      </c>
      <c r="F588" s="26">
        <v>4</v>
      </c>
      <c r="G588" s="25">
        <v>0.551</v>
      </c>
      <c r="H588" s="25">
        <v>693</v>
      </c>
      <c r="I588" s="48"/>
      <c r="J588" s="48"/>
      <c r="K588" s="48"/>
      <c r="L588" s="48">
        <v>1.57</v>
      </c>
      <c r="M588" s="27"/>
      <c r="N588" s="27"/>
    </row>
    <row r="589" spans="1:14" ht="11.25" customHeight="1">
      <c r="A589" s="301"/>
      <c r="B589" s="499" t="s">
        <v>116</v>
      </c>
      <c r="C589" s="403"/>
      <c r="D589" s="286" t="s">
        <v>131</v>
      </c>
      <c r="E589" s="50">
        <f>E592+E595+E598+E601</f>
        <v>4800</v>
      </c>
      <c r="F589" s="51">
        <v>3</v>
      </c>
      <c r="G589" s="437">
        <v>11.26</v>
      </c>
      <c r="H589" s="437">
        <f>H592+H595+H598+H601</f>
        <v>14933.82</v>
      </c>
      <c r="I589" s="340"/>
      <c r="J589" s="340"/>
      <c r="K589" s="340">
        <f>K592+K595</f>
        <v>11.79</v>
      </c>
      <c r="L589" s="340">
        <f>L592+L595+L598+L601</f>
        <v>6.8020000000000005</v>
      </c>
      <c r="M589" s="340"/>
      <c r="N589" s="340"/>
    </row>
    <row r="590" spans="1:14" ht="10.5" customHeight="1">
      <c r="A590" s="301"/>
      <c r="B590" s="499"/>
      <c r="C590" s="403"/>
      <c r="D590" s="486"/>
      <c r="E590" s="50">
        <f>E593+E596+E599</f>
        <v>25100</v>
      </c>
      <c r="F590" s="51">
        <v>4</v>
      </c>
      <c r="G590" s="437"/>
      <c r="H590" s="437"/>
      <c r="I590" s="340"/>
      <c r="J590" s="340"/>
      <c r="K590" s="340"/>
      <c r="L590" s="340"/>
      <c r="M590" s="340"/>
      <c r="N590" s="340"/>
    </row>
    <row r="591" spans="1:14" ht="10.5" customHeight="1">
      <c r="A591" s="301"/>
      <c r="B591" s="499"/>
      <c r="C591" s="403"/>
      <c r="D591" s="486"/>
      <c r="E591" s="50">
        <f>E589+E590</f>
        <v>29900</v>
      </c>
      <c r="F591" s="51">
        <v>5</v>
      </c>
      <c r="G591" s="437"/>
      <c r="H591" s="437"/>
      <c r="I591" s="340"/>
      <c r="J591" s="340"/>
      <c r="K591" s="340"/>
      <c r="L591" s="340"/>
      <c r="M591" s="340"/>
      <c r="N591" s="340"/>
    </row>
    <row r="592" spans="1:14" ht="10.5" customHeight="1">
      <c r="A592" s="301"/>
      <c r="B592" s="499"/>
      <c r="C592" s="403"/>
      <c r="D592" s="456">
        <v>2011</v>
      </c>
      <c r="E592" s="50">
        <f>E582+E577</f>
        <v>4200</v>
      </c>
      <c r="F592" s="51">
        <v>3</v>
      </c>
      <c r="G592" s="437">
        <v>6.72</v>
      </c>
      <c r="H592" s="437">
        <f>H582+H583+H585+H588+H577</f>
        <v>8871.28</v>
      </c>
      <c r="I592" s="340"/>
      <c r="J592" s="340"/>
      <c r="K592" s="340">
        <f>K583</f>
        <v>7.3</v>
      </c>
      <c r="L592" s="340">
        <f>L582+L585+L588+L577</f>
        <v>3.4979999999999998</v>
      </c>
      <c r="M592" s="340"/>
      <c r="N592" s="340"/>
    </row>
    <row r="593" spans="1:14" ht="10.5" customHeight="1">
      <c r="A593" s="301"/>
      <c r="B593" s="499"/>
      <c r="C593" s="403"/>
      <c r="D593" s="456"/>
      <c r="E593" s="50">
        <f>E583+E585+E588</f>
        <v>4200</v>
      </c>
      <c r="F593" s="51">
        <v>4</v>
      </c>
      <c r="G593" s="437"/>
      <c r="H593" s="437"/>
      <c r="I593" s="340"/>
      <c r="J593" s="340"/>
      <c r="K593" s="340"/>
      <c r="L593" s="340"/>
      <c r="M593" s="340"/>
      <c r="N593" s="340"/>
    </row>
    <row r="594" spans="1:14" ht="10.5" customHeight="1">
      <c r="A594" s="301"/>
      <c r="B594" s="499"/>
      <c r="C594" s="403"/>
      <c r="D594" s="456"/>
      <c r="E594" s="50">
        <f>E592+E593</f>
        <v>8400</v>
      </c>
      <c r="F594" s="51">
        <v>5</v>
      </c>
      <c r="G594" s="437"/>
      <c r="H594" s="437"/>
      <c r="I594" s="340"/>
      <c r="J594" s="340"/>
      <c r="K594" s="340"/>
      <c r="L594" s="340"/>
      <c r="M594" s="340"/>
      <c r="N594" s="340"/>
    </row>
    <row r="595" spans="1:14" ht="10.5" customHeight="1">
      <c r="A595" s="301"/>
      <c r="B595" s="499"/>
      <c r="C595" s="403"/>
      <c r="D595" s="456">
        <v>2012</v>
      </c>
      <c r="E595" s="50">
        <f>E578</f>
        <v>200</v>
      </c>
      <c r="F595" s="51">
        <v>3</v>
      </c>
      <c r="G595" s="437">
        <f>G581+G586+G578</f>
        <v>3.886</v>
      </c>
      <c r="H595" s="437">
        <f>H581+H586+H578</f>
        <v>5175.26</v>
      </c>
      <c r="I595" s="340"/>
      <c r="J595" s="340"/>
      <c r="K595" s="340">
        <f>K581</f>
        <v>4.49</v>
      </c>
      <c r="L595" s="340">
        <v>1.476</v>
      </c>
      <c r="M595" s="340"/>
      <c r="N595" s="340"/>
    </row>
    <row r="596" spans="1:14" ht="9.75" customHeight="1">
      <c r="A596" s="301"/>
      <c r="B596" s="499"/>
      <c r="C596" s="403"/>
      <c r="D596" s="418"/>
      <c r="E596" s="50">
        <f>E581+E586</f>
        <v>20700</v>
      </c>
      <c r="F596" s="51">
        <v>4</v>
      </c>
      <c r="G596" s="365"/>
      <c r="H596" s="365"/>
      <c r="I596" s="365"/>
      <c r="J596" s="365"/>
      <c r="K596" s="365"/>
      <c r="L596" s="365"/>
      <c r="M596" s="365"/>
      <c r="N596" s="365"/>
    </row>
    <row r="597" spans="1:14" ht="10.5" customHeight="1">
      <c r="A597" s="301"/>
      <c r="B597" s="499"/>
      <c r="C597" s="403"/>
      <c r="D597" s="418"/>
      <c r="E597" s="50">
        <f>E595+E596</f>
        <v>20900</v>
      </c>
      <c r="F597" s="51">
        <v>5</v>
      </c>
      <c r="G597" s="365"/>
      <c r="H597" s="365"/>
      <c r="I597" s="365"/>
      <c r="J597" s="365"/>
      <c r="K597" s="365"/>
      <c r="L597" s="365"/>
      <c r="M597" s="365"/>
      <c r="N597" s="365"/>
    </row>
    <row r="598" spans="1:14" ht="10.5" customHeight="1">
      <c r="A598" s="301"/>
      <c r="B598" s="499"/>
      <c r="C598" s="403"/>
      <c r="D598" s="456">
        <v>2013</v>
      </c>
      <c r="E598" s="50">
        <f>E579</f>
        <v>200</v>
      </c>
      <c r="F598" s="51">
        <v>3</v>
      </c>
      <c r="G598" s="437">
        <f>G587+G579</f>
        <v>0.43</v>
      </c>
      <c r="H598" s="437">
        <f>H587+H579</f>
        <v>574.14</v>
      </c>
      <c r="I598" s="340"/>
      <c r="J598" s="340"/>
      <c r="K598" s="340"/>
      <c r="L598" s="340">
        <f>L587+L579</f>
        <v>1.214</v>
      </c>
      <c r="M598" s="340"/>
      <c r="N598" s="340"/>
    </row>
    <row r="599" spans="1:14" ht="10.5" customHeight="1">
      <c r="A599" s="301"/>
      <c r="B599" s="499"/>
      <c r="C599" s="403"/>
      <c r="D599" s="418"/>
      <c r="E599" s="50">
        <f>E587</f>
        <v>200</v>
      </c>
      <c r="F599" s="51">
        <v>4</v>
      </c>
      <c r="G599" s="365"/>
      <c r="H599" s="365"/>
      <c r="I599" s="340"/>
      <c r="J599" s="340"/>
      <c r="K599" s="340"/>
      <c r="L599" s="365"/>
      <c r="M599" s="340"/>
      <c r="N599" s="340"/>
    </row>
    <row r="600" spans="1:14" ht="10.5" customHeight="1">
      <c r="A600" s="301"/>
      <c r="B600" s="499"/>
      <c r="C600" s="403"/>
      <c r="D600" s="418"/>
      <c r="E600" s="50">
        <f>E598+E599</f>
        <v>400</v>
      </c>
      <c r="F600" s="51">
        <v>5</v>
      </c>
      <c r="G600" s="437"/>
      <c r="H600" s="437"/>
      <c r="I600" s="340"/>
      <c r="J600" s="340"/>
      <c r="K600" s="340"/>
      <c r="L600" s="340"/>
      <c r="M600" s="340"/>
      <c r="N600" s="340"/>
    </row>
    <row r="601" spans="1:145" s="8" customFormat="1" ht="10.5" customHeight="1">
      <c r="A601" s="280"/>
      <c r="B601" s="465"/>
      <c r="C601" s="351"/>
      <c r="D601" s="110">
        <v>2014</v>
      </c>
      <c r="E601" s="50">
        <f>E580</f>
        <v>200</v>
      </c>
      <c r="F601" s="51">
        <v>3</v>
      </c>
      <c r="G601" s="52">
        <f>G580</f>
        <v>0.22</v>
      </c>
      <c r="H601" s="52">
        <f>H580</f>
        <v>313.14</v>
      </c>
      <c r="I601" s="53"/>
      <c r="J601" s="53"/>
      <c r="K601" s="53"/>
      <c r="L601" s="53">
        <f>L580</f>
        <v>0.614</v>
      </c>
      <c r="M601" s="53"/>
      <c r="N601" s="53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  <c r="DV601" s="2"/>
      <c r="DW601" s="2"/>
      <c r="DX601" s="2"/>
      <c r="DY601" s="2"/>
      <c r="DZ601" s="2"/>
      <c r="EA601" s="2"/>
      <c r="EB601" s="2"/>
      <c r="EC601" s="2"/>
      <c r="ED601" s="2"/>
      <c r="EE601" s="2"/>
      <c r="EF601" s="2"/>
      <c r="EG601" s="2"/>
      <c r="EH601" s="2"/>
      <c r="EI601" s="2"/>
      <c r="EJ601" s="2"/>
      <c r="EK601" s="2"/>
      <c r="EL601" s="2"/>
      <c r="EM601" s="2"/>
      <c r="EN601" s="2"/>
      <c r="EO601" s="2"/>
    </row>
    <row r="602" spans="1:14" ht="12" customHeight="1">
      <c r="A602" s="285" t="s">
        <v>345</v>
      </c>
      <c r="B602" s="345"/>
      <c r="C602" s="345"/>
      <c r="D602" s="345"/>
      <c r="E602" s="345"/>
      <c r="F602" s="345"/>
      <c r="G602" s="345"/>
      <c r="H602" s="345"/>
      <c r="I602" s="345"/>
      <c r="J602" s="345"/>
      <c r="K602" s="345"/>
      <c r="L602" s="345"/>
      <c r="M602" s="345"/>
      <c r="N602" s="345"/>
    </row>
    <row r="603" spans="1:14" ht="20.25" customHeight="1">
      <c r="A603" s="417">
        <v>98</v>
      </c>
      <c r="B603" s="390" t="s">
        <v>214</v>
      </c>
      <c r="C603" s="322" t="s">
        <v>319</v>
      </c>
      <c r="D603" s="56" t="s">
        <v>430</v>
      </c>
      <c r="E603" s="25">
        <f>SUM(E604:E607)</f>
        <v>9080</v>
      </c>
      <c r="F603" s="67">
        <v>4</v>
      </c>
      <c r="G603" s="25">
        <v>2.07</v>
      </c>
      <c r="H603" s="25">
        <f>SUM(H604:H607)</f>
        <v>10097.479000000001</v>
      </c>
      <c r="I603" s="66"/>
      <c r="J603" s="48">
        <f>SUM(J604:J607)</f>
        <v>1.4213793103448276</v>
      </c>
      <c r="K603" s="66"/>
      <c r="L603" s="66"/>
      <c r="M603" s="66"/>
      <c r="N603" s="66"/>
    </row>
    <row r="604" spans="1:14" ht="11.25" customHeight="1">
      <c r="A604" s="417"/>
      <c r="B604" s="503"/>
      <c r="C604" s="322"/>
      <c r="D604" s="65">
        <v>2011</v>
      </c>
      <c r="E604" s="6">
        <v>2760</v>
      </c>
      <c r="F604" s="4">
        <v>4</v>
      </c>
      <c r="G604" s="6">
        <v>0.882</v>
      </c>
      <c r="H604" s="6">
        <v>4321.192</v>
      </c>
      <c r="I604" s="66"/>
      <c r="J604" s="5">
        <f>G604/1.45</f>
        <v>0.6082758620689656</v>
      </c>
      <c r="K604" s="66"/>
      <c r="L604" s="66"/>
      <c r="M604" s="66"/>
      <c r="N604" s="66"/>
    </row>
    <row r="605" spans="1:14" ht="11.25" customHeight="1">
      <c r="A605" s="417"/>
      <c r="B605" s="503"/>
      <c r="C605" s="322"/>
      <c r="D605" s="65">
        <v>2012</v>
      </c>
      <c r="E605" s="6">
        <v>3020</v>
      </c>
      <c r="F605" s="4">
        <v>4</v>
      </c>
      <c r="G605" s="6">
        <v>0.696</v>
      </c>
      <c r="H605" s="6">
        <v>3409.92</v>
      </c>
      <c r="I605" s="66"/>
      <c r="J605" s="5">
        <f>G605/1.45</f>
        <v>0.48</v>
      </c>
      <c r="K605" s="66"/>
      <c r="L605" s="66"/>
      <c r="M605" s="66"/>
      <c r="N605" s="66"/>
    </row>
    <row r="606" spans="1:14" ht="11.25" customHeight="1">
      <c r="A606" s="417"/>
      <c r="B606" s="503"/>
      <c r="C606" s="322"/>
      <c r="D606" s="65">
        <v>2013</v>
      </c>
      <c r="E606" s="6">
        <v>1500</v>
      </c>
      <c r="F606" s="4">
        <v>4</v>
      </c>
      <c r="G606" s="6">
        <v>0.238</v>
      </c>
      <c r="H606" s="6">
        <v>1166.036</v>
      </c>
      <c r="I606" s="66"/>
      <c r="J606" s="5">
        <f>G606/1.45</f>
        <v>0.16413793103448276</v>
      </c>
      <c r="K606" s="66"/>
      <c r="L606" s="66"/>
      <c r="M606" s="66"/>
      <c r="N606" s="66"/>
    </row>
    <row r="607" spans="1:14" ht="10.5" customHeight="1">
      <c r="A607" s="411"/>
      <c r="B607" s="504"/>
      <c r="C607" s="407"/>
      <c r="D607" s="65">
        <v>2014</v>
      </c>
      <c r="E607" s="6">
        <v>1800</v>
      </c>
      <c r="F607" s="4">
        <v>4</v>
      </c>
      <c r="G607" s="6">
        <v>0.245</v>
      </c>
      <c r="H607" s="6">
        <v>1200.331</v>
      </c>
      <c r="I607" s="66"/>
      <c r="J607" s="5">
        <f>G607/1.45</f>
        <v>0.16896551724137931</v>
      </c>
      <c r="K607" s="66"/>
      <c r="L607" s="66"/>
      <c r="M607" s="66"/>
      <c r="N607" s="66"/>
    </row>
    <row r="608" spans="1:14" ht="20.25" customHeight="1">
      <c r="A608" s="501">
        <v>99</v>
      </c>
      <c r="B608" s="372" t="s">
        <v>467</v>
      </c>
      <c r="C608" s="373" t="s">
        <v>319</v>
      </c>
      <c r="D608" s="111" t="s">
        <v>429</v>
      </c>
      <c r="E608" s="25">
        <f>SUM(E609:E613)</f>
        <v>1050000</v>
      </c>
      <c r="F608" s="65">
        <v>4</v>
      </c>
      <c r="G608" s="25">
        <v>0.69</v>
      </c>
      <c r="H608" s="25">
        <f>SUM(H609:H613)</f>
        <v>1443</v>
      </c>
      <c r="I608" s="66"/>
      <c r="J608" s="66"/>
      <c r="K608" s="66"/>
      <c r="L608" s="48">
        <f>SUM(L609:L613)</f>
        <v>1.924</v>
      </c>
      <c r="M608" s="66"/>
      <c r="N608" s="66"/>
    </row>
    <row r="609" spans="1:14" ht="10.5" customHeight="1">
      <c r="A609" s="502"/>
      <c r="B609" s="440"/>
      <c r="C609" s="348"/>
      <c r="D609" s="112">
        <v>2011</v>
      </c>
      <c r="E609" s="6">
        <v>160000</v>
      </c>
      <c r="F609" s="4">
        <v>4</v>
      </c>
      <c r="G609" s="6">
        <f>L609*0.351</f>
        <v>0.10775699999999999</v>
      </c>
      <c r="H609" s="6">
        <v>230.25</v>
      </c>
      <c r="I609" s="66"/>
      <c r="J609" s="66"/>
      <c r="K609" s="66"/>
      <c r="L609" s="5">
        <v>0.307</v>
      </c>
      <c r="M609" s="66"/>
      <c r="N609" s="66"/>
    </row>
    <row r="610" spans="1:14" ht="10.5" customHeight="1">
      <c r="A610" s="502"/>
      <c r="B610" s="440"/>
      <c r="C610" s="348"/>
      <c r="D610" s="112">
        <v>2012</v>
      </c>
      <c r="E610" s="6">
        <v>170000</v>
      </c>
      <c r="F610" s="4">
        <v>4</v>
      </c>
      <c r="G610" s="6">
        <f>L610*0.351</f>
        <v>0.135135</v>
      </c>
      <c r="H610" s="6">
        <v>288.75</v>
      </c>
      <c r="I610" s="66"/>
      <c r="J610" s="66"/>
      <c r="K610" s="66"/>
      <c r="L610" s="5">
        <v>0.385</v>
      </c>
      <c r="M610" s="66"/>
      <c r="N610" s="66"/>
    </row>
    <row r="611" spans="1:14" ht="9.75" customHeight="1">
      <c r="A611" s="113"/>
      <c r="B611" s="440" t="s">
        <v>468</v>
      </c>
      <c r="C611" s="348"/>
      <c r="D611" s="112">
        <v>2013</v>
      </c>
      <c r="E611" s="6">
        <v>225000</v>
      </c>
      <c r="F611" s="4">
        <v>4</v>
      </c>
      <c r="G611" s="6">
        <f>L611*0.351</f>
        <v>0.135135</v>
      </c>
      <c r="H611" s="6">
        <v>288.75</v>
      </c>
      <c r="I611" s="66"/>
      <c r="J611" s="66"/>
      <c r="K611" s="66"/>
      <c r="L611" s="5">
        <v>0.385</v>
      </c>
      <c r="M611" s="66"/>
      <c r="N611" s="66"/>
    </row>
    <row r="612" spans="1:14" ht="9.75" customHeight="1">
      <c r="A612" s="113"/>
      <c r="B612" s="440"/>
      <c r="C612" s="348"/>
      <c r="D612" s="112">
        <v>2014</v>
      </c>
      <c r="E612" s="6">
        <v>225000</v>
      </c>
      <c r="F612" s="4">
        <v>4</v>
      </c>
      <c r="G612" s="6">
        <f>L612*0.351</f>
        <v>0.135135</v>
      </c>
      <c r="H612" s="6">
        <v>288.75</v>
      </c>
      <c r="I612" s="66"/>
      <c r="J612" s="66"/>
      <c r="K612" s="66"/>
      <c r="L612" s="5">
        <v>0.385</v>
      </c>
      <c r="M612" s="66"/>
      <c r="N612" s="66"/>
    </row>
    <row r="613" spans="1:14" ht="10.5" customHeight="1">
      <c r="A613" s="114"/>
      <c r="B613" s="500"/>
      <c r="C613" s="349"/>
      <c r="D613" s="112">
        <v>2015</v>
      </c>
      <c r="E613" s="6">
        <v>270000</v>
      </c>
      <c r="F613" s="4">
        <v>4</v>
      </c>
      <c r="G613" s="6">
        <f>L613*0.351</f>
        <v>0.162162</v>
      </c>
      <c r="H613" s="6">
        <v>346.5</v>
      </c>
      <c r="I613" s="66"/>
      <c r="J613" s="66"/>
      <c r="K613" s="66"/>
      <c r="L613" s="5">
        <v>0.462</v>
      </c>
      <c r="M613" s="66"/>
      <c r="N613" s="66"/>
    </row>
    <row r="614" spans="1:14" ht="20.25" customHeight="1">
      <c r="A614" s="411">
        <v>100</v>
      </c>
      <c r="B614" s="404" t="s">
        <v>215</v>
      </c>
      <c r="C614" s="373" t="s">
        <v>319</v>
      </c>
      <c r="D614" s="56" t="s">
        <v>428</v>
      </c>
      <c r="E614" s="25">
        <f>SUM(E615:E619)</f>
        <v>75</v>
      </c>
      <c r="F614" s="67">
        <v>1</v>
      </c>
      <c r="G614" s="25">
        <v>0.35</v>
      </c>
      <c r="H614" s="25">
        <f>SUM(H615:H619)</f>
        <v>697.5</v>
      </c>
      <c r="I614" s="66"/>
      <c r="J614" s="66"/>
      <c r="K614" s="66"/>
      <c r="L614" s="48">
        <f>SUM(L615:L619)</f>
        <v>0.9299999999999999</v>
      </c>
      <c r="M614" s="66"/>
      <c r="N614" s="66"/>
    </row>
    <row r="615" spans="1:14" ht="10.5" customHeight="1">
      <c r="A615" s="394"/>
      <c r="B615" s="353"/>
      <c r="C615" s="408"/>
      <c r="D615" s="65">
        <v>2011</v>
      </c>
      <c r="E615" s="6">
        <v>15</v>
      </c>
      <c r="F615" s="4">
        <v>1</v>
      </c>
      <c r="G615" s="6">
        <f>L615*0.351</f>
        <v>0.065286</v>
      </c>
      <c r="H615" s="6">
        <v>139.5</v>
      </c>
      <c r="I615" s="66"/>
      <c r="J615" s="66"/>
      <c r="K615" s="66"/>
      <c r="L615" s="5">
        <v>0.186</v>
      </c>
      <c r="M615" s="66"/>
      <c r="N615" s="66"/>
    </row>
    <row r="616" spans="1:14" ht="10.5" customHeight="1">
      <c r="A616" s="394"/>
      <c r="B616" s="353"/>
      <c r="C616" s="408"/>
      <c r="D616" s="65">
        <v>2012</v>
      </c>
      <c r="E616" s="6">
        <v>15</v>
      </c>
      <c r="F616" s="4">
        <v>1</v>
      </c>
      <c r="G616" s="6">
        <f>L616*0.351</f>
        <v>0.065286</v>
      </c>
      <c r="H616" s="6">
        <v>139.5</v>
      </c>
      <c r="I616" s="66"/>
      <c r="J616" s="66"/>
      <c r="K616" s="66"/>
      <c r="L616" s="5">
        <v>0.186</v>
      </c>
      <c r="M616" s="66"/>
      <c r="N616" s="66"/>
    </row>
    <row r="617" spans="1:14" ht="10.5" customHeight="1">
      <c r="A617" s="394"/>
      <c r="B617" s="353"/>
      <c r="C617" s="408"/>
      <c r="D617" s="65">
        <v>2013</v>
      </c>
      <c r="E617" s="6">
        <v>15</v>
      </c>
      <c r="F617" s="4">
        <v>1</v>
      </c>
      <c r="G617" s="6">
        <f>L617*0.351</f>
        <v>0.065286</v>
      </c>
      <c r="H617" s="6">
        <v>139.5</v>
      </c>
      <c r="I617" s="66"/>
      <c r="J617" s="66"/>
      <c r="K617" s="66"/>
      <c r="L617" s="5">
        <v>0.186</v>
      </c>
      <c r="M617" s="66"/>
      <c r="N617" s="66"/>
    </row>
    <row r="618" spans="1:14" ht="10.5" customHeight="1">
      <c r="A618" s="394"/>
      <c r="B618" s="353"/>
      <c r="C618" s="408"/>
      <c r="D618" s="65">
        <v>2014</v>
      </c>
      <c r="E618" s="6">
        <v>15</v>
      </c>
      <c r="F618" s="4">
        <v>1</v>
      </c>
      <c r="G618" s="6">
        <f>L618*0.351</f>
        <v>0.065286</v>
      </c>
      <c r="H618" s="6">
        <v>139.5</v>
      </c>
      <c r="I618" s="66"/>
      <c r="J618" s="66"/>
      <c r="K618" s="66"/>
      <c r="L618" s="5">
        <v>0.186</v>
      </c>
      <c r="M618" s="66"/>
      <c r="N618" s="66"/>
    </row>
    <row r="619" spans="1:14" ht="10.5" customHeight="1">
      <c r="A619" s="413"/>
      <c r="B619" s="354"/>
      <c r="C619" s="409"/>
      <c r="D619" s="65">
        <v>2015</v>
      </c>
      <c r="E619" s="6">
        <v>15</v>
      </c>
      <c r="F619" s="4">
        <v>1</v>
      </c>
      <c r="G619" s="6">
        <f>L619*0.351</f>
        <v>0.065286</v>
      </c>
      <c r="H619" s="6">
        <v>139.5</v>
      </c>
      <c r="I619" s="66"/>
      <c r="J619" s="66"/>
      <c r="K619" s="66"/>
      <c r="L619" s="5">
        <v>0.186</v>
      </c>
      <c r="M619" s="66"/>
      <c r="N619" s="66"/>
    </row>
    <row r="620" spans="1:14" ht="18.75" customHeight="1">
      <c r="A620" s="417">
        <v>101</v>
      </c>
      <c r="B620" s="424" t="s">
        <v>320</v>
      </c>
      <c r="C620" s="403" t="s">
        <v>319</v>
      </c>
      <c r="D620" s="56" t="s">
        <v>427</v>
      </c>
      <c r="E620" s="25">
        <f>SUM(E621:E625)</f>
        <v>2250</v>
      </c>
      <c r="F620" s="67">
        <v>1</v>
      </c>
      <c r="G620" s="25">
        <v>0.45</v>
      </c>
      <c r="H620" s="25">
        <f>SUM(H621:H625)</f>
        <v>1012.5</v>
      </c>
      <c r="I620" s="66"/>
      <c r="J620" s="66"/>
      <c r="K620" s="66"/>
      <c r="L620" s="48">
        <f>SUM(L621:L625)</f>
        <v>1.35</v>
      </c>
      <c r="M620" s="66"/>
      <c r="N620" s="66"/>
    </row>
    <row r="621" spans="1:14" ht="10.5" customHeight="1">
      <c r="A621" s="417"/>
      <c r="B621" s="424"/>
      <c r="C621" s="403"/>
      <c r="D621" s="65">
        <v>2011</v>
      </c>
      <c r="E621" s="6">
        <v>450</v>
      </c>
      <c r="F621" s="4">
        <v>1</v>
      </c>
      <c r="G621" s="6">
        <f>L621*0.351</f>
        <v>0.09477000000000001</v>
      </c>
      <c r="H621" s="6">
        <v>202.5</v>
      </c>
      <c r="I621" s="66"/>
      <c r="J621" s="66"/>
      <c r="K621" s="66"/>
      <c r="L621" s="5">
        <v>0.27</v>
      </c>
      <c r="M621" s="66"/>
      <c r="N621" s="66"/>
    </row>
    <row r="622" spans="1:14" ht="10.5" customHeight="1">
      <c r="A622" s="417"/>
      <c r="B622" s="424"/>
      <c r="C622" s="403"/>
      <c r="D622" s="65">
        <v>2012</v>
      </c>
      <c r="E622" s="6">
        <v>450</v>
      </c>
      <c r="F622" s="4">
        <v>1</v>
      </c>
      <c r="G622" s="6">
        <f>L622*0.351</f>
        <v>0.09477000000000001</v>
      </c>
      <c r="H622" s="6">
        <v>202.5</v>
      </c>
      <c r="I622" s="66"/>
      <c r="J622" s="66"/>
      <c r="K622" s="66"/>
      <c r="L622" s="5">
        <v>0.27</v>
      </c>
      <c r="M622" s="66"/>
      <c r="N622" s="66"/>
    </row>
    <row r="623" spans="1:14" ht="10.5" customHeight="1">
      <c r="A623" s="417"/>
      <c r="B623" s="424"/>
      <c r="C623" s="403"/>
      <c r="D623" s="65">
        <v>2013</v>
      </c>
      <c r="E623" s="6">
        <v>450</v>
      </c>
      <c r="F623" s="4">
        <v>1</v>
      </c>
      <c r="G623" s="6">
        <f>L623*0.351</f>
        <v>0.09477000000000001</v>
      </c>
      <c r="H623" s="6">
        <v>202.5</v>
      </c>
      <c r="I623" s="66"/>
      <c r="J623" s="66"/>
      <c r="K623" s="66"/>
      <c r="L623" s="5">
        <v>0.27</v>
      </c>
      <c r="M623" s="66"/>
      <c r="N623" s="66"/>
    </row>
    <row r="624" spans="1:14" ht="10.5" customHeight="1">
      <c r="A624" s="417"/>
      <c r="B624" s="424"/>
      <c r="C624" s="403"/>
      <c r="D624" s="65">
        <v>2014</v>
      </c>
      <c r="E624" s="6">
        <v>450</v>
      </c>
      <c r="F624" s="4">
        <v>1</v>
      </c>
      <c r="G624" s="6">
        <f>L624*0.351</f>
        <v>0.09477000000000001</v>
      </c>
      <c r="H624" s="6">
        <v>202.5</v>
      </c>
      <c r="I624" s="66"/>
      <c r="J624" s="66"/>
      <c r="K624" s="66"/>
      <c r="L624" s="5">
        <v>0.27</v>
      </c>
      <c r="M624" s="66"/>
      <c r="N624" s="66"/>
    </row>
    <row r="625" spans="1:14" ht="12" customHeight="1">
      <c r="A625" s="417"/>
      <c r="B625" s="424"/>
      <c r="C625" s="403"/>
      <c r="D625" s="65">
        <v>2015</v>
      </c>
      <c r="E625" s="6">
        <v>450</v>
      </c>
      <c r="F625" s="4">
        <v>1</v>
      </c>
      <c r="G625" s="6">
        <f>L625*0.351</f>
        <v>0.09477000000000001</v>
      </c>
      <c r="H625" s="6">
        <v>202.5</v>
      </c>
      <c r="I625" s="66"/>
      <c r="J625" s="66"/>
      <c r="K625" s="66"/>
      <c r="L625" s="5">
        <v>0.27</v>
      </c>
      <c r="M625" s="66"/>
      <c r="N625" s="66"/>
    </row>
    <row r="626" spans="1:14" ht="22.5" customHeight="1">
      <c r="A626" s="417">
        <v>102</v>
      </c>
      <c r="B626" s="424" t="s">
        <v>410</v>
      </c>
      <c r="C626" s="403" t="s">
        <v>319</v>
      </c>
      <c r="D626" s="56" t="s">
        <v>426</v>
      </c>
      <c r="E626" s="25">
        <f>SUM(E627:E631)</f>
        <v>1750</v>
      </c>
      <c r="F626" s="65">
        <v>1</v>
      </c>
      <c r="G626" s="25">
        <f>SUM(G627:G631)</f>
        <v>0.9477000000000001</v>
      </c>
      <c r="H626" s="25">
        <f>SUM(H627:H631)</f>
        <v>2025</v>
      </c>
      <c r="I626" s="66"/>
      <c r="J626" s="66"/>
      <c r="K626" s="66"/>
      <c r="L626" s="48">
        <f>SUM(L627:L631)</f>
        <v>2.7</v>
      </c>
      <c r="M626" s="66"/>
      <c r="N626" s="66"/>
    </row>
    <row r="627" spans="1:14" ht="11.25" customHeight="1">
      <c r="A627" s="417"/>
      <c r="B627" s="424"/>
      <c r="C627" s="403"/>
      <c r="D627" s="65">
        <v>2011</v>
      </c>
      <c r="E627" s="6">
        <v>350</v>
      </c>
      <c r="F627" s="4">
        <v>1</v>
      </c>
      <c r="G627" s="6">
        <f>L627*0.351</f>
        <v>0.18954000000000001</v>
      </c>
      <c r="H627" s="6">
        <v>405</v>
      </c>
      <c r="I627" s="66"/>
      <c r="J627" s="66"/>
      <c r="K627" s="66"/>
      <c r="L627" s="5">
        <v>0.54</v>
      </c>
      <c r="M627" s="66"/>
      <c r="N627" s="66"/>
    </row>
    <row r="628" spans="1:14" ht="11.25" customHeight="1">
      <c r="A628" s="417"/>
      <c r="B628" s="424"/>
      <c r="C628" s="403"/>
      <c r="D628" s="65">
        <v>2012</v>
      </c>
      <c r="E628" s="7">
        <v>350</v>
      </c>
      <c r="F628" s="4">
        <v>1</v>
      </c>
      <c r="G628" s="6">
        <f>L628*0.351</f>
        <v>0.18954000000000001</v>
      </c>
      <c r="H628" s="6">
        <v>405</v>
      </c>
      <c r="I628" s="66"/>
      <c r="J628" s="66"/>
      <c r="K628" s="66"/>
      <c r="L628" s="5">
        <v>0.54</v>
      </c>
      <c r="M628" s="66"/>
      <c r="N628" s="66"/>
    </row>
    <row r="629" spans="1:14" ht="11.25" customHeight="1">
      <c r="A629" s="417"/>
      <c r="B629" s="424"/>
      <c r="C629" s="403"/>
      <c r="D629" s="65">
        <v>2013</v>
      </c>
      <c r="E629" s="7">
        <v>350</v>
      </c>
      <c r="F629" s="4">
        <v>1</v>
      </c>
      <c r="G629" s="6">
        <f>L629*0.351</f>
        <v>0.18954000000000001</v>
      </c>
      <c r="H629" s="6">
        <v>405</v>
      </c>
      <c r="I629" s="66"/>
      <c r="J629" s="66"/>
      <c r="K629" s="66"/>
      <c r="L629" s="5">
        <v>0.54</v>
      </c>
      <c r="M629" s="66"/>
      <c r="N629" s="66"/>
    </row>
    <row r="630" spans="1:14" ht="11.25" customHeight="1">
      <c r="A630" s="417"/>
      <c r="B630" s="424"/>
      <c r="C630" s="403"/>
      <c r="D630" s="65">
        <v>2014</v>
      </c>
      <c r="E630" s="7">
        <v>350</v>
      </c>
      <c r="F630" s="4">
        <v>1</v>
      </c>
      <c r="G630" s="6">
        <f>L630*0.351</f>
        <v>0.18954000000000001</v>
      </c>
      <c r="H630" s="6">
        <v>405</v>
      </c>
      <c r="I630" s="66"/>
      <c r="J630" s="66"/>
      <c r="K630" s="66"/>
      <c r="L630" s="5">
        <v>0.54</v>
      </c>
      <c r="M630" s="66"/>
      <c r="N630" s="66"/>
    </row>
    <row r="631" spans="1:14" ht="11.25" customHeight="1">
      <c r="A631" s="417"/>
      <c r="B631" s="424"/>
      <c r="C631" s="403"/>
      <c r="D631" s="65">
        <v>2015</v>
      </c>
      <c r="E631" s="6">
        <v>350</v>
      </c>
      <c r="F631" s="4">
        <v>1</v>
      </c>
      <c r="G631" s="6">
        <f>L631*0.351</f>
        <v>0.18954000000000001</v>
      </c>
      <c r="H631" s="6">
        <v>405</v>
      </c>
      <c r="I631" s="66"/>
      <c r="J631" s="66"/>
      <c r="K631" s="66"/>
      <c r="L631" s="5">
        <v>0.54</v>
      </c>
      <c r="M631" s="66"/>
      <c r="N631" s="66"/>
    </row>
    <row r="632" spans="1:14" ht="22.5" customHeight="1">
      <c r="A632" s="417">
        <v>103</v>
      </c>
      <c r="B632" s="424" t="s">
        <v>340</v>
      </c>
      <c r="C632" s="403" t="s">
        <v>319</v>
      </c>
      <c r="D632" s="56" t="s">
        <v>425</v>
      </c>
      <c r="E632" s="25">
        <f>SUM(E633:E637)</f>
        <v>1110360</v>
      </c>
      <c r="F632" s="65">
        <v>1</v>
      </c>
      <c r="G632" s="25">
        <f>SUM(G633:G637)</f>
        <v>1.98075</v>
      </c>
      <c r="H632" s="25">
        <f>SUM(H633:H637)</f>
        <v>2059.98</v>
      </c>
      <c r="I632" s="66"/>
      <c r="J632" s="66"/>
      <c r="K632" s="48">
        <f>SUM(K633:K637)</f>
        <v>2.641</v>
      </c>
      <c r="L632" s="66"/>
      <c r="M632" s="66"/>
      <c r="N632" s="66"/>
    </row>
    <row r="633" spans="1:14" ht="15" customHeight="1">
      <c r="A633" s="417"/>
      <c r="B633" s="424"/>
      <c r="C633" s="403"/>
      <c r="D633" s="65">
        <v>2011</v>
      </c>
      <c r="E633" s="6">
        <v>116880</v>
      </c>
      <c r="F633" s="4">
        <v>1</v>
      </c>
      <c r="G633" s="6">
        <f>K633*0.75</f>
        <v>0.20850000000000002</v>
      </c>
      <c r="H633" s="6">
        <v>216.84</v>
      </c>
      <c r="I633" s="66"/>
      <c r="J633" s="66"/>
      <c r="K633" s="5">
        <v>0.278</v>
      </c>
      <c r="L633" s="66"/>
      <c r="M633" s="66"/>
      <c r="N633" s="66"/>
    </row>
    <row r="634" spans="1:14" ht="17.25" customHeight="1">
      <c r="A634" s="417"/>
      <c r="B634" s="424"/>
      <c r="C634" s="403"/>
      <c r="D634" s="65">
        <v>2012</v>
      </c>
      <c r="E634" s="6">
        <v>292200</v>
      </c>
      <c r="F634" s="4">
        <v>1</v>
      </c>
      <c r="G634" s="6">
        <f>K634*0.75</f>
        <v>0.52125</v>
      </c>
      <c r="H634" s="6">
        <v>542.1</v>
      </c>
      <c r="I634" s="66"/>
      <c r="J634" s="66"/>
      <c r="K634" s="5">
        <v>0.695</v>
      </c>
      <c r="L634" s="66"/>
      <c r="M634" s="66"/>
      <c r="N634" s="66"/>
    </row>
    <row r="635" spans="1:14" ht="18" customHeight="1">
      <c r="A635" s="417"/>
      <c r="B635" s="424"/>
      <c r="C635" s="403"/>
      <c r="D635" s="65">
        <v>2013</v>
      </c>
      <c r="E635" s="6">
        <v>292200</v>
      </c>
      <c r="F635" s="4">
        <v>1</v>
      </c>
      <c r="G635" s="6">
        <f>K635*0.75</f>
        <v>0.52125</v>
      </c>
      <c r="H635" s="6">
        <v>542.1</v>
      </c>
      <c r="I635" s="66"/>
      <c r="J635" s="66"/>
      <c r="K635" s="5">
        <v>0.695</v>
      </c>
      <c r="L635" s="66"/>
      <c r="M635" s="66"/>
      <c r="N635" s="66"/>
    </row>
    <row r="636" spans="1:14" ht="12.75" customHeight="1">
      <c r="A636" s="417"/>
      <c r="B636" s="424"/>
      <c r="C636" s="403"/>
      <c r="D636" s="65">
        <v>2014</v>
      </c>
      <c r="E636" s="6">
        <v>292200</v>
      </c>
      <c r="F636" s="4">
        <v>1</v>
      </c>
      <c r="G636" s="6">
        <f>K636*0.75</f>
        <v>0.52125</v>
      </c>
      <c r="H636" s="6">
        <v>542.1</v>
      </c>
      <c r="I636" s="66"/>
      <c r="J636" s="66"/>
      <c r="K636" s="5">
        <v>0.695</v>
      </c>
      <c r="L636" s="66"/>
      <c r="M636" s="66"/>
      <c r="N636" s="66"/>
    </row>
    <row r="637" spans="1:14" ht="17.25" customHeight="1">
      <c r="A637" s="417"/>
      <c r="B637" s="424"/>
      <c r="C637" s="403"/>
      <c r="D637" s="65">
        <v>2015</v>
      </c>
      <c r="E637" s="6">
        <v>116880</v>
      </c>
      <c r="F637" s="4">
        <v>1</v>
      </c>
      <c r="G637" s="6">
        <f>K637*0.75</f>
        <v>0.20850000000000002</v>
      </c>
      <c r="H637" s="6">
        <v>216.84</v>
      </c>
      <c r="I637" s="66"/>
      <c r="J637" s="66"/>
      <c r="K637" s="5">
        <v>0.278</v>
      </c>
      <c r="L637" s="66"/>
      <c r="M637" s="66"/>
      <c r="N637" s="66"/>
    </row>
    <row r="638" spans="1:14" ht="22.5" customHeight="1">
      <c r="A638" s="417">
        <v>104</v>
      </c>
      <c r="B638" s="424" t="s">
        <v>321</v>
      </c>
      <c r="C638" s="403" t="s">
        <v>319</v>
      </c>
      <c r="D638" s="56" t="s">
        <v>424</v>
      </c>
      <c r="E638" s="25">
        <f>SUM(E639:E643)</f>
        <v>318.5</v>
      </c>
      <c r="F638" s="65">
        <v>1</v>
      </c>
      <c r="G638" s="25">
        <v>0.13</v>
      </c>
      <c r="H638" s="25">
        <v>229.18</v>
      </c>
      <c r="I638" s="48">
        <f>SUM(I639:I643)</f>
        <v>0.0465</v>
      </c>
      <c r="J638" s="66"/>
      <c r="K638" s="48">
        <f>SUM(K639:K643)</f>
        <v>0.074</v>
      </c>
      <c r="L638" s="66"/>
      <c r="M638" s="48">
        <f>SUM(M639:M643)</f>
        <v>0.046</v>
      </c>
      <c r="N638" s="66"/>
    </row>
    <row r="639" spans="1:14" ht="12" customHeight="1">
      <c r="A639" s="417"/>
      <c r="B639" s="424"/>
      <c r="C639" s="403"/>
      <c r="D639" s="65">
        <v>2011</v>
      </c>
      <c r="E639" s="6">
        <v>8.5</v>
      </c>
      <c r="F639" s="4">
        <v>1</v>
      </c>
      <c r="G639" s="6">
        <f>M639*0.143</f>
        <v>0.006578</v>
      </c>
      <c r="H639" s="6">
        <v>25.208</v>
      </c>
      <c r="I639" s="5"/>
      <c r="J639" s="66"/>
      <c r="K639" s="5"/>
      <c r="L639" s="66"/>
      <c r="M639" s="5">
        <v>0.046</v>
      </c>
      <c r="N639" s="66"/>
    </row>
    <row r="640" spans="1:14" ht="11.25" customHeight="1">
      <c r="A640" s="417"/>
      <c r="B640" s="424"/>
      <c r="C640" s="403"/>
      <c r="D640" s="65">
        <v>2012</v>
      </c>
      <c r="E640" s="6">
        <v>10</v>
      </c>
      <c r="F640" s="4">
        <v>1</v>
      </c>
      <c r="G640" s="6">
        <f>I640*1.16</f>
        <v>0.008119999999999999</v>
      </c>
      <c r="H640" s="6">
        <v>22.015</v>
      </c>
      <c r="I640" s="5">
        <v>0.007</v>
      </c>
      <c r="J640" s="66"/>
      <c r="K640" s="5"/>
      <c r="L640" s="66"/>
      <c r="M640" s="5"/>
      <c r="N640" s="66"/>
    </row>
    <row r="641" spans="1:14" ht="11.25" customHeight="1">
      <c r="A641" s="417"/>
      <c r="B641" s="424"/>
      <c r="C641" s="403"/>
      <c r="D641" s="65">
        <v>2013</v>
      </c>
      <c r="E641" s="6">
        <v>60</v>
      </c>
      <c r="F641" s="4">
        <v>1</v>
      </c>
      <c r="G641" s="6">
        <f>K641*0.75</f>
        <v>0.055499999999999994</v>
      </c>
      <c r="H641" s="6">
        <v>57.72</v>
      </c>
      <c r="I641" s="5"/>
      <c r="J641" s="66"/>
      <c r="K641" s="5">
        <v>0.074</v>
      </c>
      <c r="L641" s="66"/>
      <c r="M641" s="5"/>
      <c r="N641" s="66"/>
    </row>
    <row r="642" spans="1:14" ht="11.25" customHeight="1">
      <c r="A642" s="417"/>
      <c r="B642" s="424"/>
      <c r="C642" s="403"/>
      <c r="D642" s="65">
        <v>2014</v>
      </c>
      <c r="E642" s="6">
        <v>120</v>
      </c>
      <c r="F642" s="4">
        <v>1</v>
      </c>
      <c r="G642" s="6">
        <f>I642*1.16</f>
        <v>0.03712</v>
      </c>
      <c r="H642" s="6">
        <v>100.64</v>
      </c>
      <c r="I642" s="5">
        <v>0.032</v>
      </c>
      <c r="J642" s="66"/>
      <c r="K642" s="5"/>
      <c r="L642" s="66"/>
      <c r="M642" s="5"/>
      <c r="N642" s="66"/>
    </row>
    <row r="643" spans="1:14" ht="11.25" customHeight="1">
      <c r="A643" s="417"/>
      <c r="B643" s="424"/>
      <c r="C643" s="403"/>
      <c r="D643" s="65">
        <v>2015</v>
      </c>
      <c r="E643" s="6">
        <v>120</v>
      </c>
      <c r="F643" s="4">
        <v>1</v>
      </c>
      <c r="G643" s="6">
        <f>I643*1.16</f>
        <v>0.0087</v>
      </c>
      <c r="H643" s="6">
        <v>23.588</v>
      </c>
      <c r="I643" s="5">
        <v>0.0075</v>
      </c>
      <c r="J643" s="66"/>
      <c r="K643" s="5"/>
      <c r="L643" s="66"/>
      <c r="M643" s="5"/>
      <c r="N643" s="66"/>
    </row>
    <row r="644" spans="1:14" ht="21" customHeight="1">
      <c r="A644" s="417">
        <v>105</v>
      </c>
      <c r="B644" s="424" t="s">
        <v>341</v>
      </c>
      <c r="C644" s="403" t="s">
        <v>319</v>
      </c>
      <c r="D644" s="56" t="s">
        <v>423</v>
      </c>
      <c r="E644" s="25">
        <f>SUM(E645:E649)</f>
        <v>30007.199999999997</v>
      </c>
      <c r="F644" s="65">
        <v>1</v>
      </c>
      <c r="G644" s="25">
        <v>1.3</v>
      </c>
      <c r="H644" s="25">
        <f>SUM(H645:H649)</f>
        <v>1345.5</v>
      </c>
      <c r="I644" s="66"/>
      <c r="J644" s="66"/>
      <c r="K644" s="48">
        <f>SUM(K645:K649)</f>
        <v>1.725</v>
      </c>
      <c r="L644" s="66"/>
      <c r="M644" s="66"/>
      <c r="N644" s="66"/>
    </row>
    <row r="645" spans="1:14" ht="12" customHeight="1">
      <c r="A645" s="417"/>
      <c r="B645" s="424"/>
      <c r="C645" s="403"/>
      <c r="D645" s="65">
        <v>2011</v>
      </c>
      <c r="E645" s="6">
        <v>297</v>
      </c>
      <c r="F645" s="4">
        <v>1</v>
      </c>
      <c r="G645" s="6">
        <f>K645*0.75</f>
        <v>0.17775</v>
      </c>
      <c r="H645" s="6">
        <v>184.86</v>
      </c>
      <c r="I645" s="66"/>
      <c r="J645" s="66"/>
      <c r="K645" s="5">
        <v>0.237</v>
      </c>
      <c r="L645" s="66"/>
      <c r="M645" s="66"/>
      <c r="N645" s="66"/>
    </row>
    <row r="646" spans="1:14" ht="11.25" customHeight="1">
      <c r="A646" s="417"/>
      <c r="B646" s="424"/>
      <c r="C646" s="403"/>
      <c r="D646" s="65">
        <v>2012</v>
      </c>
      <c r="E646" s="6">
        <v>8112</v>
      </c>
      <c r="F646" s="4">
        <v>1</v>
      </c>
      <c r="G646" s="6">
        <f>K646*0.75</f>
        <v>0.29775</v>
      </c>
      <c r="H646" s="6">
        <v>309.66</v>
      </c>
      <c r="I646" s="66"/>
      <c r="J646" s="66"/>
      <c r="K646" s="5">
        <v>0.397</v>
      </c>
      <c r="L646" s="66"/>
      <c r="M646" s="66"/>
      <c r="N646" s="66"/>
    </row>
    <row r="647" spans="1:14" ht="11.25" customHeight="1">
      <c r="A647" s="417"/>
      <c r="B647" s="424"/>
      <c r="C647" s="403"/>
      <c r="D647" s="65">
        <v>2013</v>
      </c>
      <c r="E647" s="6">
        <v>6793.8</v>
      </c>
      <c r="F647" s="4">
        <v>1</v>
      </c>
      <c r="G647" s="6">
        <f>K647*0.75</f>
        <v>0.32025</v>
      </c>
      <c r="H647" s="6">
        <v>333.06</v>
      </c>
      <c r="I647" s="66"/>
      <c r="J647" s="66"/>
      <c r="K647" s="5">
        <v>0.427</v>
      </c>
      <c r="L647" s="66"/>
      <c r="M647" s="66"/>
      <c r="N647" s="66"/>
    </row>
    <row r="648" spans="1:14" ht="11.25" customHeight="1">
      <c r="A648" s="417"/>
      <c r="B648" s="424"/>
      <c r="C648" s="403"/>
      <c r="D648" s="65">
        <v>2014</v>
      </c>
      <c r="E648" s="6">
        <v>7300.8</v>
      </c>
      <c r="F648" s="4">
        <v>1</v>
      </c>
      <c r="G648" s="6">
        <f>K648*0.75</f>
        <v>0.32025</v>
      </c>
      <c r="H648" s="6">
        <v>333.06</v>
      </c>
      <c r="I648" s="66"/>
      <c r="J648" s="66"/>
      <c r="K648" s="5">
        <v>0.427</v>
      </c>
      <c r="L648" s="66"/>
      <c r="M648" s="66"/>
      <c r="N648" s="66"/>
    </row>
    <row r="649" spans="1:14" ht="11.25" customHeight="1">
      <c r="A649" s="417"/>
      <c r="B649" s="424"/>
      <c r="C649" s="403"/>
      <c r="D649" s="65">
        <v>2015</v>
      </c>
      <c r="E649" s="6">
        <v>7503.6</v>
      </c>
      <c r="F649" s="4">
        <v>1</v>
      </c>
      <c r="G649" s="6">
        <f>K649*0.75</f>
        <v>0.17775</v>
      </c>
      <c r="H649" s="6">
        <v>184.86</v>
      </c>
      <c r="I649" s="66"/>
      <c r="J649" s="66"/>
      <c r="K649" s="5">
        <v>0.237</v>
      </c>
      <c r="L649" s="66"/>
      <c r="M649" s="66"/>
      <c r="N649" s="66"/>
    </row>
    <row r="650" spans="1:14" ht="21" customHeight="1">
      <c r="A650" s="417">
        <v>106</v>
      </c>
      <c r="B650" s="424" t="s">
        <v>342</v>
      </c>
      <c r="C650" s="403" t="s">
        <v>366</v>
      </c>
      <c r="D650" s="56" t="s">
        <v>422</v>
      </c>
      <c r="E650" s="25">
        <f>SUM(E651:E654)</f>
        <v>5000</v>
      </c>
      <c r="F650" s="65">
        <v>3</v>
      </c>
      <c r="G650" s="25">
        <v>0.16</v>
      </c>
      <c r="H650" s="25">
        <v>233.6</v>
      </c>
      <c r="I650" s="66"/>
      <c r="J650" s="66"/>
      <c r="K650" s="66"/>
      <c r="L650" s="48">
        <v>4.452</v>
      </c>
      <c r="M650" s="66"/>
      <c r="N650" s="66"/>
    </row>
    <row r="651" spans="1:14" ht="12" customHeight="1">
      <c r="A651" s="417"/>
      <c r="B651" s="424"/>
      <c r="C651" s="417"/>
      <c r="D651" s="65">
        <v>2011</v>
      </c>
      <c r="E651" s="25">
        <v>1000</v>
      </c>
      <c r="F651" s="65">
        <v>3</v>
      </c>
      <c r="G651" s="25">
        <v>0.035</v>
      </c>
      <c r="H651" s="25">
        <v>58.4</v>
      </c>
      <c r="I651" s="66"/>
      <c r="J651" s="66"/>
      <c r="K651" s="66"/>
      <c r="L651" s="48">
        <v>0.113</v>
      </c>
      <c r="M651" s="66"/>
      <c r="N651" s="66"/>
    </row>
    <row r="652" spans="1:14" ht="11.25" customHeight="1">
      <c r="A652" s="417"/>
      <c r="B652" s="424"/>
      <c r="C652" s="417"/>
      <c r="D652" s="65">
        <v>2012</v>
      </c>
      <c r="E652" s="25">
        <v>1000</v>
      </c>
      <c r="F652" s="65">
        <v>3</v>
      </c>
      <c r="G652" s="25">
        <v>0.035</v>
      </c>
      <c r="H652" s="25">
        <v>58.4</v>
      </c>
      <c r="I652" s="66"/>
      <c r="J652" s="66"/>
      <c r="K652" s="66"/>
      <c r="L652" s="48">
        <v>0.113</v>
      </c>
      <c r="M652" s="66"/>
      <c r="N652" s="66"/>
    </row>
    <row r="653" spans="1:14" ht="11.25" customHeight="1">
      <c r="A653" s="417"/>
      <c r="B653" s="424"/>
      <c r="C653" s="417"/>
      <c r="D653" s="65">
        <v>2013</v>
      </c>
      <c r="E653" s="25">
        <v>2000</v>
      </c>
      <c r="F653" s="65">
        <v>3</v>
      </c>
      <c r="G653" s="25">
        <f>L653*0.325</f>
        <v>0.029249999999999998</v>
      </c>
      <c r="H653" s="25">
        <v>85.2</v>
      </c>
      <c r="I653" s="66"/>
      <c r="J653" s="66"/>
      <c r="K653" s="66"/>
      <c r="L653" s="48">
        <v>0.09</v>
      </c>
      <c r="M653" s="66"/>
      <c r="N653" s="66"/>
    </row>
    <row r="654" spans="1:14" ht="11.25" customHeight="1">
      <c r="A654" s="417"/>
      <c r="B654" s="424"/>
      <c r="C654" s="417"/>
      <c r="D654" s="65">
        <v>2014</v>
      </c>
      <c r="E654" s="25">
        <v>1000</v>
      </c>
      <c r="F654" s="65">
        <v>3</v>
      </c>
      <c r="G654" s="25">
        <f>L654*0.325</f>
        <v>0.0195</v>
      </c>
      <c r="H654" s="25">
        <v>56.8</v>
      </c>
      <c r="I654" s="66"/>
      <c r="J654" s="66"/>
      <c r="K654" s="66"/>
      <c r="L654" s="48">
        <v>0.06</v>
      </c>
      <c r="M654" s="66"/>
      <c r="N654" s="66"/>
    </row>
    <row r="655" spans="1:14" ht="26.25" customHeight="1">
      <c r="A655" s="411">
        <v>107</v>
      </c>
      <c r="B655" s="404" t="s">
        <v>471</v>
      </c>
      <c r="C655" s="373" t="s">
        <v>366</v>
      </c>
      <c r="D655" s="24" t="s">
        <v>202</v>
      </c>
      <c r="E655" s="25">
        <f>SUM(E656:E657)</f>
        <v>10000</v>
      </c>
      <c r="F655" s="65">
        <v>3</v>
      </c>
      <c r="G655" s="25">
        <f>SUM(G656:G657)</f>
        <v>0.496</v>
      </c>
      <c r="H655" s="25">
        <f>SUM(H656:H657)</f>
        <v>827.8</v>
      </c>
      <c r="I655" s="66"/>
      <c r="J655" s="66"/>
      <c r="K655" s="66"/>
      <c r="L655" s="48">
        <v>1.416</v>
      </c>
      <c r="M655" s="66"/>
      <c r="N655" s="66"/>
    </row>
    <row r="656" spans="1:14" ht="18" customHeight="1">
      <c r="A656" s="412"/>
      <c r="B656" s="405"/>
      <c r="C656" s="348"/>
      <c r="D656" s="41">
        <v>2011</v>
      </c>
      <c r="E656" s="25">
        <v>5000</v>
      </c>
      <c r="F656" s="65">
        <v>3</v>
      </c>
      <c r="G656" s="25">
        <v>0.19</v>
      </c>
      <c r="H656" s="25">
        <v>318</v>
      </c>
      <c r="I656" s="66"/>
      <c r="J656" s="66"/>
      <c r="K656" s="66"/>
      <c r="L656" s="48">
        <v>0.544</v>
      </c>
      <c r="M656" s="66"/>
      <c r="N656" s="66"/>
    </row>
    <row r="657" spans="1:14" ht="19.5" customHeight="1">
      <c r="A657" s="419"/>
      <c r="B657" s="406"/>
      <c r="C657" s="349"/>
      <c r="D657" s="41">
        <v>2012</v>
      </c>
      <c r="E657" s="25">
        <v>5000</v>
      </c>
      <c r="F657" s="65">
        <v>3</v>
      </c>
      <c r="G657" s="25">
        <v>0.306</v>
      </c>
      <c r="H657" s="25">
        <v>509.8</v>
      </c>
      <c r="I657" s="66"/>
      <c r="J657" s="66"/>
      <c r="K657" s="66"/>
      <c r="L657" s="48">
        <v>0.872</v>
      </c>
      <c r="M657" s="66"/>
      <c r="N657" s="66"/>
    </row>
    <row r="658" spans="1:14" ht="29.25" customHeight="1">
      <c r="A658" s="417">
        <v>108</v>
      </c>
      <c r="B658" s="424" t="s">
        <v>343</v>
      </c>
      <c r="C658" s="403" t="s">
        <v>366</v>
      </c>
      <c r="D658" s="24" t="s">
        <v>421</v>
      </c>
      <c r="E658" s="25">
        <f>SUM(E659:E660)</f>
        <v>1600</v>
      </c>
      <c r="F658" s="65">
        <v>3</v>
      </c>
      <c r="G658" s="25">
        <f>SUM(G659:G660)</f>
        <v>0.138</v>
      </c>
      <c r="H658" s="25">
        <f>SUM(H659:H660)</f>
        <v>278.4</v>
      </c>
      <c r="I658" s="66"/>
      <c r="J658" s="66"/>
      <c r="K658" s="66"/>
      <c r="L658" s="48">
        <v>0.902</v>
      </c>
      <c r="M658" s="66"/>
      <c r="N658" s="66"/>
    </row>
    <row r="659" spans="1:14" ht="18.75" customHeight="1">
      <c r="A659" s="417"/>
      <c r="B659" s="424"/>
      <c r="C659" s="417"/>
      <c r="D659" s="41">
        <v>2012</v>
      </c>
      <c r="E659" s="25">
        <v>900</v>
      </c>
      <c r="F659" s="65">
        <v>3</v>
      </c>
      <c r="G659" s="25">
        <v>0.099</v>
      </c>
      <c r="H659" s="25">
        <v>165.4</v>
      </c>
      <c r="I659" s="66"/>
      <c r="J659" s="66"/>
      <c r="K659" s="66"/>
      <c r="L659" s="48">
        <v>0.283</v>
      </c>
      <c r="M659" s="66"/>
      <c r="N659" s="66"/>
    </row>
    <row r="660" spans="1:14" ht="18.75" customHeight="1">
      <c r="A660" s="417"/>
      <c r="B660" s="424"/>
      <c r="C660" s="417"/>
      <c r="D660" s="41">
        <v>2013</v>
      </c>
      <c r="E660" s="25">
        <v>700</v>
      </c>
      <c r="F660" s="65">
        <v>3</v>
      </c>
      <c r="G660" s="25">
        <f>L660*0.325</f>
        <v>0.039</v>
      </c>
      <c r="H660" s="25">
        <v>113</v>
      </c>
      <c r="I660" s="66"/>
      <c r="J660" s="66"/>
      <c r="K660" s="66"/>
      <c r="L660" s="48">
        <v>0.12</v>
      </c>
      <c r="M660" s="66"/>
      <c r="N660" s="66"/>
    </row>
    <row r="661" spans="1:14" ht="22.5" customHeight="1">
      <c r="A661" s="417">
        <v>109</v>
      </c>
      <c r="B661" s="424" t="s">
        <v>344</v>
      </c>
      <c r="C661" s="403" t="s">
        <v>366</v>
      </c>
      <c r="D661" s="24" t="s">
        <v>420</v>
      </c>
      <c r="E661" s="25">
        <f>SUM(E662:E663)</f>
        <v>1000</v>
      </c>
      <c r="F661" s="65">
        <v>3</v>
      </c>
      <c r="G661" s="25">
        <f>SUM(G662:G663)</f>
        <v>0.2</v>
      </c>
      <c r="H661" s="25">
        <f>SUM(H662:H663)</f>
        <v>548</v>
      </c>
      <c r="I661" s="66"/>
      <c r="J661" s="66"/>
      <c r="K661" s="66"/>
      <c r="L661" s="48">
        <v>0.002</v>
      </c>
      <c r="M661" s="66"/>
      <c r="N661" s="66"/>
    </row>
    <row r="662" spans="1:14" ht="12" customHeight="1">
      <c r="A662" s="417"/>
      <c r="B662" s="424"/>
      <c r="C662" s="417"/>
      <c r="D662" s="41">
        <v>2013</v>
      </c>
      <c r="E662" s="25">
        <v>500</v>
      </c>
      <c r="F662" s="65">
        <v>3</v>
      </c>
      <c r="G662" s="25">
        <v>0.1</v>
      </c>
      <c r="H662" s="25">
        <v>274</v>
      </c>
      <c r="I662" s="66"/>
      <c r="J662" s="66"/>
      <c r="K662" s="66"/>
      <c r="L662" s="48">
        <v>0.001</v>
      </c>
      <c r="M662" s="66"/>
      <c r="N662" s="66"/>
    </row>
    <row r="663" spans="1:14" ht="12" customHeight="1">
      <c r="A663" s="417"/>
      <c r="B663" s="424"/>
      <c r="C663" s="417"/>
      <c r="D663" s="41">
        <v>2014</v>
      </c>
      <c r="E663" s="25">
        <v>500</v>
      </c>
      <c r="F663" s="65">
        <v>3</v>
      </c>
      <c r="G663" s="25">
        <v>0.1</v>
      </c>
      <c r="H663" s="25">
        <v>274</v>
      </c>
      <c r="I663" s="66"/>
      <c r="J663" s="66"/>
      <c r="K663" s="66"/>
      <c r="L663" s="48">
        <v>0.001</v>
      </c>
      <c r="M663" s="66"/>
      <c r="N663" s="66"/>
    </row>
    <row r="664" spans="1:14" ht="21.75" customHeight="1">
      <c r="A664" s="365"/>
      <c r="B664" s="380"/>
      <c r="C664" s="417" t="s">
        <v>221</v>
      </c>
      <c r="D664" s="56" t="s">
        <v>120</v>
      </c>
      <c r="E664" s="25"/>
      <c r="F664" s="65"/>
      <c r="G664" s="25">
        <v>0.65</v>
      </c>
      <c r="H664" s="25">
        <v>900</v>
      </c>
      <c r="I664" s="66"/>
      <c r="J664" s="66"/>
      <c r="K664" s="66"/>
      <c r="L664" s="48">
        <v>1.8</v>
      </c>
      <c r="M664" s="66"/>
      <c r="N664" s="66"/>
    </row>
    <row r="665" spans="1:14" ht="11.25" customHeight="1">
      <c r="A665" s="365"/>
      <c r="B665" s="380"/>
      <c r="C665" s="417"/>
      <c r="D665" s="65">
        <v>2011</v>
      </c>
      <c r="E665" s="25"/>
      <c r="F665" s="65"/>
      <c r="G665" s="25">
        <v>0.126</v>
      </c>
      <c r="H665" s="25">
        <v>180</v>
      </c>
      <c r="I665" s="66"/>
      <c r="J665" s="66"/>
      <c r="K665" s="66"/>
      <c r="L665" s="48">
        <v>0.36</v>
      </c>
      <c r="M665" s="66"/>
      <c r="N665" s="66"/>
    </row>
    <row r="666" spans="1:14" ht="11.25" customHeight="1">
      <c r="A666" s="365"/>
      <c r="B666" s="380"/>
      <c r="C666" s="417"/>
      <c r="D666" s="65">
        <v>2012</v>
      </c>
      <c r="E666" s="25"/>
      <c r="F666" s="65"/>
      <c r="G666" s="25">
        <v>0.126</v>
      </c>
      <c r="H666" s="25">
        <v>180</v>
      </c>
      <c r="I666" s="66"/>
      <c r="J666" s="66"/>
      <c r="K666" s="66"/>
      <c r="L666" s="48">
        <v>0.36</v>
      </c>
      <c r="M666" s="66"/>
      <c r="N666" s="66"/>
    </row>
    <row r="667" spans="1:14" ht="11.25" customHeight="1">
      <c r="A667" s="365"/>
      <c r="B667" s="380"/>
      <c r="C667" s="417"/>
      <c r="D667" s="65">
        <v>2013</v>
      </c>
      <c r="E667" s="25"/>
      <c r="F667" s="65"/>
      <c r="G667" s="25">
        <v>0.126</v>
      </c>
      <c r="H667" s="25">
        <v>180</v>
      </c>
      <c r="I667" s="66"/>
      <c r="J667" s="66"/>
      <c r="K667" s="66"/>
      <c r="L667" s="48">
        <v>0.36</v>
      </c>
      <c r="M667" s="66"/>
      <c r="N667" s="66"/>
    </row>
    <row r="668" spans="1:14" ht="12" customHeight="1">
      <c r="A668" s="365"/>
      <c r="B668" s="380"/>
      <c r="C668" s="417"/>
      <c r="D668" s="65">
        <v>2014</v>
      </c>
      <c r="E668" s="25"/>
      <c r="F668" s="65"/>
      <c r="G668" s="25">
        <v>0.126</v>
      </c>
      <c r="H668" s="25">
        <v>180</v>
      </c>
      <c r="I668" s="66"/>
      <c r="J668" s="66"/>
      <c r="K668" s="66"/>
      <c r="L668" s="48">
        <v>0.36</v>
      </c>
      <c r="M668" s="66"/>
      <c r="N668" s="66"/>
    </row>
    <row r="669" spans="1:14" ht="11.25" customHeight="1">
      <c r="A669" s="365"/>
      <c r="B669" s="380"/>
      <c r="C669" s="417"/>
      <c r="D669" s="65">
        <v>2015</v>
      </c>
      <c r="E669" s="25"/>
      <c r="F669" s="65"/>
      <c r="G669" s="25">
        <v>0.126</v>
      </c>
      <c r="H669" s="25">
        <v>180</v>
      </c>
      <c r="I669" s="66"/>
      <c r="J669" s="66"/>
      <c r="K669" s="66"/>
      <c r="L669" s="48">
        <v>0.36</v>
      </c>
      <c r="M669" s="66"/>
      <c r="N669" s="66"/>
    </row>
    <row r="670" spans="1:14" ht="11.25" customHeight="1">
      <c r="A670" s="365"/>
      <c r="B670" s="465"/>
      <c r="C670" s="403" t="s">
        <v>11</v>
      </c>
      <c r="D670" s="403" t="s">
        <v>217</v>
      </c>
      <c r="E670" s="25">
        <f>E673+E676</f>
        <v>12</v>
      </c>
      <c r="F670" s="26">
        <v>1</v>
      </c>
      <c r="G670" s="350">
        <v>0.41</v>
      </c>
      <c r="H670" s="350">
        <v>655.4</v>
      </c>
      <c r="I670" s="467"/>
      <c r="J670" s="467"/>
      <c r="K670" s="467">
        <v>0.65</v>
      </c>
      <c r="L670" s="467">
        <v>0.009</v>
      </c>
      <c r="M670" s="340"/>
      <c r="N670" s="340"/>
    </row>
    <row r="671" spans="1:14" ht="10.5" customHeight="1">
      <c r="A671" s="365"/>
      <c r="B671" s="465"/>
      <c r="C671" s="403"/>
      <c r="D671" s="351"/>
      <c r="E671" s="25">
        <f>E674+E677</f>
        <v>108</v>
      </c>
      <c r="F671" s="26">
        <v>4</v>
      </c>
      <c r="G671" s="350"/>
      <c r="H671" s="350"/>
      <c r="I671" s="467"/>
      <c r="J671" s="467"/>
      <c r="K671" s="467"/>
      <c r="L671" s="467"/>
      <c r="M671" s="340"/>
      <c r="N671" s="340"/>
    </row>
    <row r="672" spans="1:14" ht="11.25" customHeight="1">
      <c r="A672" s="365"/>
      <c r="B672" s="465"/>
      <c r="C672" s="403"/>
      <c r="D672" s="351"/>
      <c r="E672" s="25">
        <f>E670+E671</f>
        <v>120</v>
      </c>
      <c r="F672" s="26">
        <v>5</v>
      </c>
      <c r="G672" s="350"/>
      <c r="H672" s="350"/>
      <c r="I672" s="467"/>
      <c r="J672" s="467"/>
      <c r="K672" s="467"/>
      <c r="L672" s="467"/>
      <c r="M672" s="340"/>
      <c r="N672" s="340"/>
    </row>
    <row r="673" spans="1:14" ht="10.5" customHeight="1">
      <c r="A673" s="365"/>
      <c r="B673" s="465"/>
      <c r="C673" s="403"/>
      <c r="D673" s="417">
        <v>2011</v>
      </c>
      <c r="E673" s="25">
        <v>6</v>
      </c>
      <c r="F673" s="26">
        <v>1</v>
      </c>
      <c r="G673" s="350">
        <v>0.1</v>
      </c>
      <c r="H673" s="350">
        <v>131.2</v>
      </c>
      <c r="I673" s="467"/>
      <c r="J673" s="467"/>
      <c r="K673" s="467">
        <v>0.13</v>
      </c>
      <c r="L673" s="467">
        <v>0.002</v>
      </c>
      <c r="M673" s="467"/>
      <c r="N673" s="340"/>
    </row>
    <row r="674" spans="1:14" ht="10.5" customHeight="1">
      <c r="A674" s="365"/>
      <c r="B674" s="465"/>
      <c r="C674" s="403"/>
      <c r="D674" s="417"/>
      <c r="E674" s="25">
        <v>54</v>
      </c>
      <c r="F674" s="26">
        <v>4</v>
      </c>
      <c r="G674" s="350"/>
      <c r="H674" s="350"/>
      <c r="I674" s="467"/>
      <c r="J674" s="467"/>
      <c r="K674" s="467"/>
      <c r="L674" s="467"/>
      <c r="M674" s="467"/>
      <c r="N674" s="340"/>
    </row>
    <row r="675" spans="1:14" ht="11.25" customHeight="1">
      <c r="A675" s="365"/>
      <c r="B675" s="465"/>
      <c r="C675" s="403"/>
      <c r="D675" s="417"/>
      <c r="E675" s="25">
        <v>60</v>
      </c>
      <c r="F675" s="26">
        <v>5</v>
      </c>
      <c r="G675" s="350"/>
      <c r="H675" s="350"/>
      <c r="I675" s="467"/>
      <c r="J675" s="467"/>
      <c r="K675" s="467"/>
      <c r="L675" s="467"/>
      <c r="M675" s="467"/>
      <c r="N675" s="340"/>
    </row>
    <row r="676" spans="1:14" ht="11.25" customHeight="1">
      <c r="A676" s="365"/>
      <c r="B676" s="465"/>
      <c r="C676" s="403"/>
      <c r="D676" s="417">
        <v>2012</v>
      </c>
      <c r="E676" s="25">
        <v>6</v>
      </c>
      <c r="F676" s="26">
        <v>1</v>
      </c>
      <c r="G676" s="350">
        <v>0.1</v>
      </c>
      <c r="H676" s="350">
        <v>131.2</v>
      </c>
      <c r="I676" s="467"/>
      <c r="J676" s="467"/>
      <c r="K676" s="467">
        <v>0.13</v>
      </c>
      <c r="L676" s="467">
        <v>0.002</v>
      </c>
      <c r="M676" s="467"/>
      <c r="N676" s="340"/>
    </row>
    <row r="677" spans="1:14" ht="10.5" customHeight="1">
      <c r="A677" s="365"/>
      <c r="B677" s="465"/>
      <c r="C677" s="403"/>
      <c r="D677" s="417"/>
      <c r="E677" s="25">
        <v>54</v>
      </c>
      <c r="F677" s="26">
        <v>4</v>
      </c>
      <c r="G677" s="350"/>
      <c r="H677" s="350"/>
      <c r="I677" s="467"/>
      <c r="J677" s="467"/>
      <c r="K677" s="467"/>
      <c r="L677" s="467"/>
      <c r="M677" s="467"/>
      <c r="N677" s="340"/>
    </row>
    <row r="678" spans="1:14" ht="11.25" customHeight="1">
      <c r="A678" s="365"/>
      <c r="B678" s="465"/>
      <c r="C678" s="351"/>
      <c r="D678" s="417"/>
      <c r="E678" s="25">
        <v>60</v>
      </c>
      <c r="F678" s="26">
        <v>5</v>
      </c>
      <c r="G678" s="350"/>
      <c r="H678" s="350"/>
      <c r="I678" s="467"/>
      <c r="J678" s="467"/>
      <c r="K678" s="467"/>
      <c r="L678" s="467"/>
      <c r="M678" s="467"/>
      <c r="N678" s="340"/>
    </row>
    <row r="679" spans="1:14" ht="12" customHeight="1">
      <c r="A679" s="411">
        <v>110</v>
      </c>
      <c r="B679" s="404" t="s">
        <v>216</v>
      </c>
      <c r="C679" s="373" t="s">
        <v>11</v>
      </c>
      <c r="D679" s="403" t="s">
        <v>217</v>
      </c>
      <c r="E679" s="25">
        <f>E682+E685</f>
        <v>14</v>
      </c>
      <c r="F679" s="26">
        <v>1</v>
      </c>
      <c r="G679" s="350">
        <f>G682+G685</f>
        <v>0.21000000000000002</v>
      </c>
      <c r="H679" s="350">
        <v>522.1</v>
      </c>
      <c r="I679" s="467"/>
      <c r="J679" s="467"/>
      <c r="K679" s="467"/>
      <c r="L679" s="467"/>
      <c r="M679" s="467">
        <v>3.65</v>
      </c>
      <c r="N679" s="340"/>
    </row>
    <row r="680" spans="1:14" ht="11.25" customHeight="1">
      <c r="A680" s="412"/>
      <c r="B680" s="405"/>
      <c r="C680" s="348"/>
      <c r="D680" s="351"/>
      <c r="E680" s="25">
        <f>E683+E686</f>
        <v>126</v>
      </c>
      <c r="F680" s="26">
        <v>4</v>
      </c>
      <c r="G680" s="350"/>
      <c r="H680" s="350"/>
      <c r="I680" s="467"/>
      <c r="J680" s="467"/>
      <c r="K680" s="467"/>
      <c r="L680" s="467"/>
      <c r="M680" s="467"/>
      <c r="N680" s="340"/>
    </row>
    <row r="681" spans="1:14" ht="10.5" customHeight="1">
      <c r="A681" s="412"/>
      <c r="B681" s="405"/>
      <c r="C681" s="348"/>
      <c r="D681" s="351"/>
      <c r="E681" s="25">
        <f>E679+E680</f>
        <v>140</v>
      </c>
      <c r="F681" s="26">
        <v>5</v>
      </c>
      <c r="G681" s="350"/>
      <c r="H681" s="350"/>
      <c r="I681" s="467"/>
      <c r="J681" s="467"/>
      <c r="K681" s="467"/>
      <c r="L681" s="467"/>
      <c r="M681" s="467"/>
      <c r="N681" s="340"/>
    </row>
    <row r="682" spans="1:14" ht="11.25" customHeight="1">
      <c r="A682" s="412"/>
      <c r="B682" s="405"/>
      <c r="C682" s="348"/>
      <c r="D682" s="417">
        <v>2011</v>
      </c>
      <c r="E682" s="25">
        <v>6</v>
      </c>
      <c r="F682" s="26">
        <v>1</v>
      </c>
      <c r="G682" s="350">
        <v>0.1</v>
      </c>
      <c r="H682" s="350">
        <v>100.1</v>
      </c>
      <c r="I682" s="467"/>
      <c r="J682" s="467"/>
      <c r="K682" s="467"/>
      <c r="L682" s="467"/>
      <c r="M682" s="467">
        <v>0.75</v>
      </c>
      <c r="N682" s="340"/>
    </row>
    <row r="683" spans="1:14" ht="11.25" customHeight="1">
      <c r="A683" s="412"/>
      <c r="B683" s="405"/>
      <c r="C683" s="348"/>
      <c r="D683" s="417"/>
      <c r="E683" s="25">
        <v>54</v>
      </c>
      <c r="F683" s="26">
        <v>4</v>
      </c>
      <c r="G683" s="350"/>
      <c r="H683" s="350"/>
      <c r="I683" s="467"/>
      <c r="J683" s="467"/>
      <c r="K683" s="467"/>
      <c r="L683" s="467"/>
      <c r="M683" s="467"/>
      <c r="N683" s="340"/>
    </row>
    <row r="684" spans="1:14" ht="10.5" customHeight="1">
      <c r="A684" s="412"/>
      <c r="B684" s="405"/>
      <c r="C684" s="348"/>
      <c r="D684" s="417"/>
      <c r="E684" s="25">
        <v>60</v>
      </c>
      <c r="F684" s="26">
        <v>5</v>
      </c>
      <c r="G684" s="350"/>
      <c r="H684" s="350"/>
      <c r="I684" s="467"/>
      <c r="J684" s="467"/>
      <c r="K684" s="467"/>
      <c r="L684" s="467"/>
      <c r="M684" s="467"/>
      <c r="N684" s="340"/>
    </row>
    <row r="685" spans="1:14" ht="10.5" customHeight="1">
      <c r="A685" s="412"/>
      <c r="B685" s="405"/>
      <c r="C685" s="348"/>
      <c r="D685" s="417">
        <v>2012</v>
      </c>
      <c r="E685" s="25">
        <v>8</v>
      </c>
      <c r="F685" s="26">
        <v>1</v>
      </c>
      <c r="G685" s="350">
        <v>0.11</v>
      </c>
      <c r="H685" s="350">
        <v>107.3</v>
      </c>
      <c r="I685" s="467"/>
      <c r="J685" s="467"/>
      <c r="K685" s="467"/>
      <c r="L685" s="467"/>
      <c r="M685" s="467">
        <v>0.7</v>
      </c>
      <c r="N685" s="340"/>
    </row>
    <row r="686" spans="1:14" ht="10.5" customHeight="1">
      <c r="A686" s="412"/>
      <c r="B686" s="405"/>
      <c r="C686" s="348"/>
      <c r="D686" s="417"/>
      <c r="E686" s="25">
        <v>72</v>
      </c>
      <c r="F686" s="26">
        <v>4</v>
      </c>
      <c r="G686" s="350"/>
      <c r="H686" s="350"/>
      <c r="I686" s="467"/>
      <c r="J686" s="467"/>
      <c r="K686" s="467"/>
      <c r="L686" s="467"/>
      <c r="M686" s="467"/>
      <c r="N686" s="340"/>
    </row>
    <row r="687" spans="1:14" ht="10.5" customHeight="1">
      <c r="A687" s="412"/>
      <c r="B687" s="405"/>
      <c r="C687" s="348"/>
      <c r="D687" s="417"/>
      <c r="E687" s="25">
        <v>80</v>
      </c>
      <c r="F687" s="26">
        <v>5</v>
      </c>
      <c r="G687" s="350"/>
      <c r="H687" s="350"/>
      <c r="I687" s="467"/>
      <c r="J687" s="467"/>
      <c r="K687" s="467"/>
      <c r="L687" s="467"/>
      <c r="M687" s="467"/>
      <c r="N687" s="340"/>
    </row>
    <row r="688" spans="1:14" ht="10.5" customHeight="1">
      <c r="A688" s="412"/>
      <c r="B688" s="405"/>
      <c r="C688" s="348"/>
      <c r="D688" s="41">
        <v>2013</v>
      </c>
      <c r="E688" s="25">
        <v>23.6</v>
      </c>
      <c r="F688" s="26">
        <v>3</v>
      </c>
      <c r="G688" s="47"/>
      <c r="H688" s="47"/>
      <c r="I688" s="27"/>
      <c r="J688" s="27"/>
      <c r="K688" s="27"/>
      <c r="L688" s="27"/>
      <c r="M688" s="27"/>
      <c r="N688" s="53"/>
    </row>
    <row r="689" spans="1:14" ht="11.25" customHeight="1">
      <c r="A689" s="394"/>
      <c r="B689" s="398"/>
      <c r="C689" s="408"/>
      <c r="D689" s="41">
        <v>2014</v>
      </c>
      <c r="E689" s="25">
        <v>23.9</v>
      </c>
      <c r="F689" s="26">
        <v>3</v>
      </c>
      <c r="G689" s="47"/>
      <c r="H689" s="47"/>
      <c r="I689" s="27"/>
      <c r="J689" s="27"/>
      <c r="K689" s="27"/>
      <c r="L689" s="27"/>
      <c r="M689" s="27"/>
      <c r="N689" s="53"/>
    </row>
    <row r="690" spans="1:14" ht="10.5" customHeight="1">
      <c r="A690" s="413"/>
      <c r="B690" s="399"/>
      <c r="C690" s="409"/>
      <c r="D690" s="41">
        <v>2015</v>
      </c>
      <c r="E690" s="25">
        <v>24.1</v>
      </c>
      <c r="F690" s="26">
        <v>3</v>
      </c>
      <c r="G690" s="47"/>
      <c r="H690" s="47"/>
      <c r="I690" s="27"/>
      <c r="J690" s="27"/>
      <c r="K690" s="27"/>
      <c r="L690" s="27"/>
      <c r="M690" s="27"/>
      <c r="N690" s="53"/>
    </row>
    <row r="691" spans="1:14" ht="11.25" customHeight="1">
      <c r="A691" s="414"/>
      <c r="B691" s="497" t="s">
        <v>116</v>
      </c>
      <c r="C691" s="498"/>
      <c r="D691" s="400" t="s">
        <v>418</v>
      </c>
      <c r="E691" s="116">
        <f>E695+E699+E703+E707+E711</f>
        <v>1144786.7000000002</v>
      </c>
      <c r="F691" s="117">
        <v>1</v>
      </c>
      <c r="G691" s="459">
        <f>SUM(G695:G714)</f>
        <v>10.69</v>
      </c>
      <c r="H691" s="459">
        <f>SUM(H695:H714)</f>
        <v>22192.93</v>
      </c>
      <c r="I691" s="442">
        <f>I699+I707+I711</f>
        <v>0.0465</v>
      </c>
      <c r="J691" s="442">
        <f>J695+J699+J703+J707</f>
        <v>1.4213793103448276</v>
      </c>
      <c r="K691" s="442">
        <f>K695+K699+K703+K707+K711</f>
        <v>4.699999999999999</v>
      </c>
      <c r="L691" s="442">
        <f>SUM(L695:L714)</f>
        <v>11.482999999999999</v>
      </c>
      <c r="M691" s="442">
        <f>SUM(M695:M714)</f>
        <v>3.6959999999999997</v>
      </c>
      <c r="N691" s="442"/>
    </row>
    <row r="692" spans="1:14" ht="11.25" customHeight="1">
      <c r="A692" s="415"/>
      <c r="B692" s="398"/>
      <c r="C692" s="408"/>
      <c r="D692" s="400"/>
      <c r="E692" s="116">
        <f>E696+E700+E704+E708+E712</f>
        <v>17671.6</v>
      </c>
      <c r="F692" s="117">
        <v>3</v>
      </c>
      <c r="G692" s="494"/>
      <c r="H692" s="494"/>
      <c r="I692" s="494"/>
      <c r="J692" s="494"/>
      <c r="K692" s="494"/>
      <c r="L692" s="494"/>
      <c r="M692" s="494"/>
      <c r="N692" s="494"/>
    </row>
    <row r="693" spans="1:14" ht="11.25" customHeight="1">
      <c r="A693" s="415"/>
      <c r="B693" s="398"/>
      <c r="C693" s="408"/>
      <c r="D693" s="400"/>
      <c r="E693" s="116">
        <f>E697+E701+E705+E709+E713</f>
        <v>1059314</v>
      </c>
      <c r="F693" s="117">
        <v>4</v>
      </c>
      <c r="G693" s="494"/>
      <c r="H693" s="494"/>
      <c r="I693" s="494"/>
      <c r="J693" s="494"/>
      <c r="K693" s="494"/>
      <c r="L693" s="494"/>
      <c r="M693" s="494"/>
      <c r="N693" s="494"/>
    </row>
    <row r="694" spans="1:14" ht="11.25" customHeight="1">
      <c r="A694" s="415"/>
      <c r="B694" s="398"/>
      <c r="C694" s="408"/>
      <c r="D694" s="400"/>
      <c r="E694" s="116">
        <f>SUM(E691:E693)</f>
        <v>2221772.3000000003</v>
      </c>
      <c r="F694" s="117">
        <v>5</v>
      </c>
      <c r="G694" s="494"/>
      <c r="H694" s="494"/>
      <c r="I694" s="494"/>
      <c r="J694" s="494"/>
      <c r="K694" s="494"/>
      <c r="L694" s="494"/>
      <c r="M694" s="494"/>
      <c r="N694" s="494"/>
    </row>
    <row r="695" spans="1:14" ht="11.25" customHeight="1">
      <c r="A695" s="415"/>
      <c r="B695" s="398"/>
      <c r="C695" s="408"/>
      <c r="D695" s="400">
        <v>2011</v>
      </c>
      <c r="E695" s="116">
        <f>E615+E621+E627+E633+E639+E645+E673+E682</f>
        <v>118012.5</v>
      </c>
      <c r="F695" s="117">
        <v>1</v>
      </c>
      <c r="G695" s="459">
        <v>2.3</v>
      </c>
      <c r="H695" s="459">
        <f>H604+H609+H615+H621+H627+H633+H639+H645+H651+H656+H665+H673+H682</f>
        <v>6513.049999999999</v>
      </c>
      <c r="I695" s="442"/>
      <c r="J695" s="442">
        <f>J604</f>
        <v>0.6082758620689656</v>
      </c>
      <c r="K695" s="442">
        <f>K633+K645+K673</f>
        <v>0.645</v>
      </c>
      <c r="L695" s="442">
        <v>2.322</v>
      </c>
      <c r="M695" s="442">
        <v>0.796</v>
      </c>
      <c r="N695" s="442"/>
    </row>
    <row r="696" spans="1:14" ht="11.25" customHeight="1">
      <c r="A696" s="415"/>
      <c r="B696" s="398"/>
      <c r="C696" s="408"/>
      <c r="D696" s="400"/>
      <c r="E696" s="116">
        <f>E651+E656</f>
        <v>6000</v>
      </c>
      <c r="F696" s="117">
        <v>3</v>
      </c>
      <c r="G696" s="459"/>
      <c r="H696" s="459"/>
      <c r="I696" s="442"/>
      <c r="J696" s="442"/>
      <c r="K696" s="442"/>
      <c r="L696" s="442"/>
      <c r="M696" s="442"/>
      <c r="N696" s="442"/>
    </row>
    <row r="697" spans="1:14" ht="11.25" customHeight="1">
      <c r="A697" s="415"/>
      <c r="B697" s="398"/>
      <c r="C697" s="408"/>
      <c r="D697" s="400"/>
      <c r="E697" s="116">
        <f>E604+E609+E674+E683</f>
        <v>162868</v>
      </c>
      <c r="F697" s="117">
        <v>4</v>
      </c>
      <c r="G697" s="459"/>
      <c r="H697" s="459"/>
      <c r="I697" s="442"/>
      <c r="J697" s="442"/>
      <c r="K697" s="442"/>
      <c r="L697" s="442"/>
      <c r="M697" s="442"/>
      <c r="N697" s="442"/>
    </row>
    <row r="698" spans="1:14" ht="11.25" customHeight="1">
      <c r="A698" s="415"/>
      <c r="B698" s="398"/>
      <c r="C698" s="408"/>
      <c r="D698" s="400"/>
      <c r="E698" s="116">
        <f>SUM(E695:E697)</f>
        <v>286880.5</v>
      </c>
      <c r="F698" s="117">
        <v>5</v>
      </c>
      <c r="G698" s="459"/>
      <c r="H698" s="459"/>
      <c r="I698" s="442"/>
      <c r="J698" s="442"/>
      <c r="K698" s="442"/>
      <c r="L698" s="442"/>
      <c r="M698" s="442"/>
      <c r="N698" s="442"/>
    </row>
    <row r="699" spans="1:14" ht="11.25" customHeight="1">
      <c r="A699" s="415"/>
      <c r="B699" s="398"/>
      <c r="C699" s="408"/>
      <c r="D699" s="400">
        <v>2012</v>
      </c>
      <c r="E699" s="116">
        <f>E616+E622+E628+E634+E640+E646+E676+E685</f>
        <v>301151</v>
      </c>
      <c r="F699" s="117">
        <v>1</v>
      </c>
      <c r="G699" s="459">
        <v>2.81</v>
      </c>
      <c r="H699" s="459">
        <f>H605+H610+H616+H622+H628+H634+H640+H646+H652+H657+H659+H666+H676+H685</f>
        <v>6471.545</v>
      </c>
      <c r="I699" s="442">
        <f>I640</f>
        <v>0.007</v>
      </c>
      <c r="J699" s="442">
        <f>J605</f>
        <v>0.48</v>
      </c>
      <c r="K699" s="442">
        <f>K634+K646+K676</f>
        <v>1.222</v>
      </c>
      <c r="L699" s="442">
        <v>3.011</v>
      </c>
      <c r="M699" s="442">
        <v>0.7</v>
      </c>
      <c r="N699" s="442"/>
    </row>
    <row r="700" spans="1:14" ht="10.5" customHeight="1">
      <c r="A700" s="415"/>
      <c r="B700" s="398"/>
      <c r="C700" s="408"/>
      <c r="D700" s="400"/>
      <c r="E700" s="116">
        <f>E652+E657+E659</f>
        <v>6900</v>
      </c>
      <c r="F700" s="117">
        <v>3</v>
      </c>
      <c r="G700" s="459"/>
      <c r="H700" s="459"/>
      <c r="I700" s="442"/>
      <c r="J700" s="442"/>
      <c r="K700" s="442"/>
      <c r="L700" s="442"/>
      <c r="M700" s="442"/>
      <c r="N700" s="442"/>
    </row>
    <row r="701" spans="1:14" ht="11.25" customHeight="1">
      <c r="A701" s="415"/>
      <c r="B701" s="398"/>
      <c r="C701" s="408"/>
      <c r="D701" s="400"/>
      <c r="E701" s="116">
        <f>E605+E610+E677+E686</f>
        <v>173146</v>
      </c>
      <c r="F701" s="117">
        <v>4</v>
      </c>
      <c r="G701" s="459"/>
      <c r="H701" s="459"/>
      <c r="I701" s="442"/>
      <c r="J701" s="442"/>
      <c r="K701" s="442"/>
      <c r="L701" s="442"/>
      <c r="M701" s="442"/>
      <c r="N701" s="442"/>
    </row>
    <row r="702" spans="1:14" ht="11.25" customHeight="1">
      <c r="A702" s="415"/>
      <c r="B702" s="398"/>
      <c r="C702" s="408"/>
      <c r="D702" s="400"/>
      <c r="E702" s="116">
        <f>SUM(E699:E701)</f>
        <v>481197</v>
      </c>
      <c r="F702" s="117">
        <v>5</v>
      </c>
      <c r="G702" s="459"/>
      <c r="H702" s="459"/>
      <c r="I702" s="442"/>
      <c r="J702" s="442"/>
      <c r="K702" s="442"/>
      <c r="L702" s="442"/>
      <c r="M702" s="442"/>
      <c r="N702" s="442"/>
    </row>
    <row r="703" spans="1:14" ht="11.25" customHeight="1">
      <c r="A703" s="415"/>
      <c r="B703" s="398"/>
      <c r="C703" s="408"/>
      <c r="D703" s="400">
        <v>2013</v>
      </c>
      <c r="E703" s="116">
        <f>E617+E623+E629+E635+E641+E647</f>
        <v>299868.8</v>
      </c>
      <c r="F703" s="117">
        <v>1</v>
      </c>
      <c r="G703" s="459">
        <v>2.33</v>
      </c>
      <c r="H703" s="459">
        <f>H606+H611+H617+H623+H629+H635+H641+H647+H653+H660+H662+H667</f>
        <v>3786.8659999999995</v>
      </c>
      <c r="I703" s="442"/>
      <c r="J703" s="442">
        <f>J606</f>
        <v>0.16413793103448276</v>
      </c>
      <c r="K703" s="442">
        <f>K635+K641+K647</f>
        <v>1.196</v>
      </c>
      <c r="L703" s="442">
        <v>2.475</v>
      </c>
      <c r="M703" s="442">
        <v>0.75</v>
      </c>
      <c r="N703" s="442"/>
    </row>
    <row r="704" spans="1:14" ht="11.25" customHeight="1">
      <c r="A704" s="415"/>
      <c r="B704" s="398"/>
      <c r="C704" s="408"/>
      <c r="D704" s="400"/>
      <c r="E704" s="116">
        <f>E653+E660+E662+E688</f>
        <v>3223.6</v>
      </c>
      <c r="F704" s="117">
        <v>3</v>
      </c>
      <c r="G704" s="459"/>
      <c r="H704" s="459"/>
      <c r="I704" s="442"/>
      <c r="J704" s="442"/>
      <c r="K704" s="442"/>
      <c r="L704" s="442"/>
      <c r="M704" s="442"/>
      <c r="N704" s="442"/>
    </row>
    <row r="705" spans="1:14" ht="11.25" customHeight="1">
      <c r="A705" s="415"/>
      <c r="B705" s="398"/>
      <c r="C705" s="408"/>
      <c r="D705" s="400"/>
      <c r="E705" s="116">
        <f>E606+E611</f>
        <v>226500</v>
      </c>
      <c r="F705" s="117">
        <v>4</v>
      </c>
      <c r="G705" s="459"/>
      <c r="H705" s="459"/>
      <c r="I705" s="442"/>
      <c r="J705" s="442"/>
      <c r="K705" s="442"/>
      <c r="L705" s="442"/>
      <c r="M705" s="442"/>
      <c r="N705" s="442"/>
    </row>
    <row r="706" spans="1:14" ht="11.25" customHeight="1">
      <c r="A706" s="415"/>
      <c r="B706" s="398"/>
      <c r="C706" s="408"/>
      <c r="D706" s="400"/>
      <c r="E706" s="116">
        <f>SUM(E703:E705)</f>
        <v>529592.3999999999</v>
      </c>
      <c r="F706" s="117">
        <v>5</v>
      </c>
      <c r="G706" s="459"/>
      <c r="H706" s="459"/>
      <c r="I706" s="442"/>
      <c r="J706" s="442"/>
      <c r="K706" s="442"/>
      <c r="L706" s="442"/>
      <c r="M706" s="442"/>
      <c r="N706" s="442"/>
    </row>
    <row r="707" spans="1:14" ht="10.5" customHeight="1">
      <c r="A707" s="415"/>
      <c r="B707" s="398"/>
      <c r="C707" s="408"/>
      <c r="D707" s="400">
        <v>2014</v>
      </c>
      <c r="E707" s="116">
        <f>E618+E624+E630+E636+E642+E648</f>
        <v>300435.8</v>
      </c>
      <c r="F707" s="117">
        <v>1</v>
      </c>
      <c r="G707" s="459">
        <v>2.01</v>
      </c>
      <c r="H707" s="459">
        <f>H607+H612+H618+H624+H630+H636+H642+H648+H654+H663+H668</f>
        <v>3722.681</v>
      </c>
      <c r="I707" s="442">
        <f>I642</f>
        <v>0.032</v>
      </c>
      <c r="J707" s="442">
        <f>J607</f>
        <v>0.16896551724137931</v>
      </c>
      <c r="K707" s="442">
        <f>K636+K648</f>
        <v>1.1219999999999999</v>
      </c>
      <c r="L707" s="442">
        <v>1.857</v>
      </c>
      <c r="M707" s="442">
        <v>0.75</v>
      </c>
      <c r="N707" s="442"/>
    </row>
    <row r="708" spans="1:14" ht="11.25" customHeight="1">
      <c r="A708" s="415"/>
      <c r="B708" s="398"/>
      <c r="C708" s="408"/>
      <c r="D708" s="400"/>
      <c r="E708" s="116">
        <f>E654+E663+E689</f>
        <v>1523.9</v>
      </c>
      <c r="F708" s="117">
        <v>3</v>
      </c>
      <c r="G708" s="459"/>
      <c r="H708" s="459"/>
      <c r="I708" s="442"/>
      <c r="J708" s="442"/>
      <c r="K708" s="442"/>
      <c r="L708" s="442"/>
      <c r="M708" s="442"/>
      <c r="N708" s="442"/>
    </row>
    <row r="709" spans="1:14" ht="11.25" customHeight="1">
      <c r="A709" s="415"/>
      <c r="B709" s="398"/>
      <c r="C709" s="408"/>
      <c r="D709" s="400"/>
      <c r="E709" s="116">
        <f>E607+E612</f>
        <v>226800</v>
      </c>
      <c r="F709" s="117">
        <v>4</v>
      </c>
      <c r="G709" s="459"/>
      <c r="H709" s="459"/>
      <c r="I709" s="442"/>
      <c r="J709" s="442"/>
      <c r="K709" s="442"/>
      <c r="L709" s="442"/>
      <c r="M709" s="442"/>
      <c r="N709" s="442"/>
    </row>
    <row r="710" spans="1:14" ht="11.25" customHeight="1">
      <c r="A710" s="416"/>
      <c r="B710" s="399"/>
      <c r="C710" s="409"/>
      <c r="D710" s="400"/>
      <c r="E710" s="116">
        <f>SUM(E707:E709)</f>
        <v>528759.7</v>
      </c>
      <c r="F710" s="117">
        <v>5</v>
      </c>
      <c r="G710" s="459"/>
      <c r="H710" s="459"/>
      <c r="I710" s="442"/>
      <c r="J710" s="442"/>
      <c r="K710" s="442"/>
      <c r="L710" s="442"/>
      <c r="M710" s="442"/>
      <c r="N710" s="442"/>
    </row>
    <row r="711" spans="1:14" ht="10.5" customHeight="1">
      <c r="A711" s="121"/>
      <c r="B711" s="77"/>
      <c r="C711" s="122"/>
      <c r="D711" s="400">
        <v>2015</v>
      </c>
      <c r="E711" s="116">
        <f>E619+E625+E631+E637+E643+E649</f>
        <v>125318.6</v>
      </c>
      <c r="F711" s="117">
        <v>1</v>
      </c>
      <c r="G711" s="459">
        <v>1.24</v>
      </c>
      <c r="H711" s="459">
        <f>H613+H619+H625+H631+H637+H643+H649+H669</f>
        <v>1698.788</v>
      </c>
      <c r="I711" s="442">
        <f>I643</f>
        <v>0.0075</v>
      </c>
      <c r="J711" s="442"/>
      <c r="K711" s="442">
        <f>K637+K649</f>
        <v>0.515</v>
      </c>
      <c r="L711" s="442">
        <f>L613+L619+L625+L631+L669</f>
        <v>1.818</v>
      </c>
      <c r="M711" s="442">
        <v>0.7</v>
      </c>
      <c r="N711" s="442"/>
    </row>
    <row r="712" spans="1:14" ht="9.75" customHeight="1">
      <c r="A712" s="118"/>
      <c r="B712" s="61"/>
      <c r="C712" s="74"/>
      <c r="D712" s="400"/>
      <c r="E712" s="116">
        <f>E690</f>
        <v>24.1</v>
      </c>
      <c r="F712" s="117">
        <v>3</v>
      </c>
      <c r="G712" s="459"/>
      <c r="H712" s="459"/>
      <c r="I712" s="442"/>
      <c r="J712" s="442"/>
      <c r="K712" s="442"/>
      <c r="L712" s="442"/>
      <c r="M712" s="442"/>
      <c r="N712" s="442"/>
    </row>
    <row r="713" spans="1:14" ht="10.5" customHeight="1">
      <c r="A713" s="118"/>
      <c r="B713" s="61"/>
      <c r="C713" s="74"/>
      <c r="D713" s="400"/>
      <c r="E713" s="116">
        <f>E613</f>
        <v>270000</v>
      </c>
      <c r="F713" s="117">
        <v>4</v>
      </c>
      <c r="G713" s="459"/>
      <c r="H713" s="459"/>
      <c r="I713" s="442"/>
      <c r="J713" s="442"/>
      <c r="K713" s="442"/>
      <c r="L713" s="442"/>
      <c r="M713" s="442"/>
      <c r="N713" s="442"/>
    </row>
    <row r="714" spans="1:14" ht="11.25" customHeight="1">
      <c r="A714" s="120"/>
      <c r="B714" s="62"/>
      <c r="C714" s="75"/>
      <c r="D714" s="400"/>
      <c r="E714" s="116">
        <f>SUM(E711:E713)</f>
        <v>395342.7</v>
      </c>
      <c r="F714" s="117">
        <v>5</v>
      </c>
      <c r="G714" s="459"/>
      <c r="H714" s="459"/>
      <c r="I714" s="442"/>
      <c r="J714" s="442"/>
      <c r="K714" s="442"/>
      <c r="L714" s="442"/>
      <c r="M714" s="442"/>
      <c r="N714" s="442"/>
    </row>
    <row r="715" spans="1:14" ht="12.75" customHeight="1">
      <c r="A715" s="302" t="s">
        <v>218</v>
      </c>
      <c r="B715" s="441"/>
      <c r="C715" s="441"/>
      <c r="D715" s="441"/>
      <c r="E715" s="441"/>
      <c r="F715" s="441"/>
      <c r="G715" s="441"/>
      <c r="H715" s="441"/>
      <c r="I715" s="441"/>
      <c r="J715" s="441"/>
      <c r="K715" s="441"/>
      <c r="L715" s="441"/>
      <c r="M715" s="441"/>
      <c r="N715" s="441"/>
    </row>
    <row r="716" spans="1:14" ht="11.25" customHeight="1">
      <c r="A716" s="417">
        <v>111</v>
      </c>
      <c r="B716" s="424" t="s">
        <v>346</v>
      </c>
      <c r="C716" s="403" t="s">
        <v>219</v>
      </c>
      <c r="D716" s="286" t="s">
        <v>120</v>
      </c>
      <c r="E716" s="50">
        <f>E719+E722+E725+E728+E731</f>
        <v>9112.660000000002</v>
      </c>
      <c r="F716" s="51">
        <v>3</v>
      </c>
      <c r="G716" s="437">
        <f>G719+G722+G725+G728+G731</f>
        <v>0.3500000000000001</v>
      </c>
      <c r="H716" s="437">
        <f>H719+H722+H725+H728+H731</f>
        <v>8020.77</v>
      </c>
      <c r="I716" s="340"/>
      <c r="J716" s="340">
        <f>J719+J722+J725+J728+J731</f>
        <v>1.104</v>
      </c>
      <c r="K716" s="340"/>
      <c r="L716" s="340">
        <f>SUM(L719:L731)</f>
        <v>0.511</v>
      </c>
      <c r="M716" s="340"/>
      <c r="N716" s="340"/>
    </row>
    <row r="717" spans="1:14" ht="11.25" customHeight="1">
      <c r="A717" s="417"/>
      <c r="B717" s="424"/>
      <c r="C717" s="403"/>
      <c r="D717" s="351"/>
      <c r="E717" s="50">
        <f>E720+E723+E726+E729</f>
        <v>45</v>
      </c>
      <c r="F717" s="51">
        <v>4</v>
      </c>
      <c r="G717" s="437"/>
      <c r="H717" s="437"/>
      <c r="I717" s="340"/>
      <c r="J717" s="340"/>
      <c r="K717" s="340"/>
      <c r="L717" s="340"/>
      <c r="M717" s="340"/>
      <c r="N717" s="340"/>
    </row>
    <row r="718" spans="1:14" ht="10.5" customHeight="1">
      <c r="A718" s="417"/>
      <c r="B718" s="424"/>
      <c r="C718" s="403"/>
      <c r="D718" s="351"/>
      <c r="E718" s="50">
        <f>E716+E717</f>
        <v>9157.660000000002</v>
      </c>
      <c r="F718" s="51">
        <v>5</v>
      </c>
      <c r="G718" s="437"/>
      <c r="H718" s="437"/>
      <c r="I718" s="340"/>
      <c r="J718" s="340"/>
      <c r="K718" s="340"/>
      <c r="L718" s="340"/>
      <c r="M718" s="340"/>
      <c r="N718" s="340"/>
    </row>
    <row r="719" spans="1:14" ht="10.5" customHeight="1">
      <c r="A719" s="417"/>
      <c r="B719" s="424"/>
      <c r="C719" s="403"/>
      <c r="D719" s="456">
        <v>2011</v>
      </c>
      <c r="E719" s="50">
        <v>5491.46</v>
      </c>
      <c r="F719" s="51">
        <v>3</v>
      </c>
      <c r="G719" s="437">
        <v>0.23</v>
      </c>
      <c r="H719" s="437">
        <v>1840.3</v>
      </c>
      <c r="I719" s="340"/>
      <c r="J719" s="340">
        <v>0.217</v>
      </c>
      <c r="K719" s="340"/>
      <c r="L719" s="340">
        <v>0.477</v>
      </c>
      <c r="M719" s="340"/>
      <c r="N719" s="340"/>
    </row>
    <row r="720" spans="1:14" ht="11.25" customHeight="1">
      <c r="A720" s="417"/>
      <c r="B720" s="424"/>
      <c r="C720" s="403"/>
      <c r="D720" s="456"/>
      <c r="E720" s="50">
        <v>10</v>
      </c>
      <c r="F720" s="51">
        <v>4</v>
      </c>
      <c r="G720" s="437"/>
      <c r="H720" s="437"/>
      <c r="I720" s="340"/>
      <c r="J720" s="340"/>
      <c r="K720" s="340"/>
      <c r="L720" s="340"/>
      <c r="M720" s="340"/>
      <c r="N720" s="340"/>
    </row>
    <row r="721" spans="1:14" ht="11.25" customHeight="1">
      <c r="A721" s="417"/>
      <c r="B721" s="424"/>
      <c r="C721" s="403"/>
      <c r="D721" s="456"/>
      <c r="E721" s="50">
        <f>E719+E720</f>
        <v>5501.46</v>
      </c>
      <c r="F721" s="51">
        <v>5</v>
      </c>
      <c r="G721" s="437"/>
      <c r="H721" s="437"/>
      <c r="I721" s="340"/>
      <c r="J721" s="340"/>
      <c r="K721" s="340"/>
      <c r="L721" s="340"/>
      <c r="M721" s="340"/>
      <c r="N721" s="340"/>
    </row>
    <row r="722" spans="1:14" ht="11.25" customHeight="1">
      <c r="A722" s="417"/>
      <c r="B722" s="424"/>
      <c r="C722" s="403"/>
      <c r="D722" s="456">
        <v>2012</v>
      </c>
      <c r="E722" s="50">
        <v>898.05</v>
      </c>
      <c r="F722" s="51">
        <v>3</v>
      </c>
      <c r="G722" s="437">
        <v>0.03</v>
      </c>
      <c r="H722" s="437">
        <v>1516.64</v>
      </c>
      <c r="I722" s="340"/>
      <c r="J722" s="340">
        <v>0.218</v>
      </c>
      <c r="K722" s="340"/>
      <c r="L722" s="340">
        <v>0.005</v>
      </c>
      <c r="M722" s="340"/>
      <c r="N722" s="340"/>
    </row>
    <row r="723" spans="1:14" ht="12" customHeight="1">
      <c r="A723" s="417"/>
      <c r="B723" s="424"/>
      <c r="C723" s="403"/>
      <c r="D723" s="456"/>
      <c r="E723" s="50">
        <v>10</v>
      </c>
      <c r="F723" s="51">
        <v>4</v>
      </c>
      <c r="G723" s="437"/>
      <c r="H723" s="437"/>
      <c r="I723" s="340"/>
      <c r="J723" s="340"/>
      <c r="K723" s="340"/>
      <c r="L723" s="340"/>
      <c r="M723" s="340"/>
      <c r="N723" s="340"/>
    </row>
    <row r="724" spans="1:14" ht="11.25" customHeight="1">
      <c r="A724" s="417"/>
      <c r="B724" s="424"/>
      <c r="C724" s="403"/>
      <c r="D724" s="456"/>
      <c r="E724" s="50">
        <f>E722+E723</f>
        <v>908.05</v>
      </c>
      <c r="F724" s="51">
        <v>5</v>
      </c>
      <c r="G724" s="437"/>
      <c r="H724" s="437"/>
      <c r="I724" s="340"/>
      <c r="J724" s="340"/>
      <c r="K724" s="340"/>
      <c r="L724" s="340"/>
      <c r="M724" s="340"/>
      <c r="N724" s="340"/>
    </row>
    <row r="725" spans="1:14" ht="12" customHeight="1">
      <c r="A725" s="417"/>
      <c r="B725" s="424"/>
      <c r="C725" s="403"/>
      <c r="D725" s="456">
        <v>2013</v>
      </c>
      <c r="E725" s="50">
        <v>1136.8</v>
      </c>
      <c r="F725" s="51">
        <v>3</v>
      </c>
      <c r="G725" s="437">
        <v>0.03</v>
      </c>
      <c r="H725" s="437">
        <v>1587.45</v>
      </c>
      <c r="I725" s="340"/>
      <c r="J725" s="340">
        <v>0.228</v>
      </c>
      <c r="K725" s="340"/>
      <c r="L725" s="340">
        <v>0.007</v>
      </c>
      <c r="M725" s="340"/>
      <c r="N725" s="340"/>
    </row>
    <row r="726" spans="1:14" ht="12.75" customHeight="1">
      <c r="A726" s="417"/>
      <c r="B726" s="424"/>
      <c r="C726" s="403"/>
      <c r="D726" s="456"/>
      <c r="E726" s="50">
        <v>10</v>
      </c>
      <c r="F726" s="51">
        <v>4</v>
      </c>
      <c r="G726" s="437"/>
      <c r="H726" s="437"/>
      <c r="I726" s="340"/>
      <c r="J726" s="340"/>
      <c r="K726" s="340"/>
      <c r="L726" s="340"/>
      <c r="M726" s="340"/>
      <c r="N726" s="340"/>
    </row>
    <row r="727" spans="1:14" ht="11.25" customHeight="1">
      <c r="A727" s="417"/>
      <c r="B727" s="424"/>
      <c r="C727" s="403"/>
      <c r="D727" s="456"/>
      <c r="E727" s="50">
        <f>E725+E726</f>
        <v>1146.8</v>
      </c>
      <c r="F727" s="51">
        <v>5</v>
      </c>
      <c r="G727" s="437"/>
      <c r="H727" s="437"/>
      <c r="I727" s="340"/>
      <c r="J727" s="340"/>
      <c r="K727" s="340"/>
      <c r="L727" s="340"/>
      <c r="M727" s="340"/>
      <c r="N727" s="340"/>
    </row>
    <row r="728" spans="1:14" ht="11.25" customHeight="1">
      <c r="A728" s="417"/>
      <c r="B728" s="424"/>
      <c r="C728" s="403"/>
      <c r="D728" s="456">
        <v>2014</v>
      </c>
      <c r="E728" s="50">
        <v>774.25</v>
      </c>
      <c r="F728" s="51">
        <v>3</v>
      </c>
      <c r="G728" s="437">
        <v>0.03</v>
      </c>
      <c r="H728" s="437">
        <v>1527.08</v>
      </c>
      <c r="I728" s="340"/>
      <c r="J728" s="340">
        <v>0.219</v>
      </c>
      <c r="K728" s="340"/>
      <c r="L728" s="340">
        <v>0.01</v>
      </c>
      <c r="M728" s="340"/>
      <c r="N728" s="340"/>
    </row>
    <row r="729" spans="1:14" ht="10.5" customHeight="1">
      <c r="A729" s="417"/>
      <c r="B729" s="424"/>
      <c r="C729" s="403"/>
      <c r="D729" s="456"/>
      <c r="E729" s="50">
        <v>15</v>
      </c>
      <c r="F729" s="51">
        <v>4</v>
      </c>
      <c r="G729" s="437"/>
      <c r="H729" s="437"/>
      <c r="I729" s="340"/>
      <c r="J729" s="340"/>
      <c r="K729" s="340"/>
      <c r="L729" s="340"/>
      <c r="M729" s="340"/>
      <c r="N729" s="340"/>
    </row>
    <row r="730" spans="1:14" ht="12" customHeight="1">
      <c r="A730" s="417"/>
      <c r="B730" s="424"/>
      <c r="C730" s="403"/>
      <c r="D730" s="456"/>
      <c r="E730" s="50">
        <f>E728+E729</f>
        <v>789.25</v>
      </c>
      <c r="F730" s="51">
        <v>5</v>
      </c>
      <c r="G730" s="437"/>
      <c r="H730" s="437"/>
      <c r="I730" s="340"/>
      <c r="J730" s="340"/>
      <c r="K730" s="340"/>
      <c r="L730" s="340"/>
      <c r="M730" s="340"/>
      <c r="N730" s="340"/>
    </row>
    <row r="731" spans="1:14" ht="10.5" customHeight="1">
      <c r="A731" s="417"/>
      <c r="B731" s="424"/>
      <c r="C731" s="403"/>
      <c r="D731" s="71">
        <v>2015</v>
      </c>
      <c r="E731" s="50">
        <v>812.1</v>
      </c>
      <c r="F731" s="51">
        <v>3</v>
      </c>
      <c r="G731" s="52">
        <v>0.03</v>
      </c>
      <c r="H731" s="52">
        <v>1549.3</v>
      </c>
      <c r="I731" s="53"/>
      <c r="J731" s="53">
        <v>0.222</v>
      </c>
      <c r="K731" s="53"/>
      <c r="L731" s="53">
        <v>0.012</v>
      </c>
      <c r="M731" s="53"/>
      <c r="N731" s="53"/>
    </row>
    <row r="732" spans="1:14" ht="12.75" customHeight="1">
      <c r="A732" s="302" t="s">
        <v>222</v>
      </c>
      <c r="B732" s="303"/>
      <c r="C732" s="303"/>
      <c r="D732" s="303"/>
      <c r="E732" s="303"/>
      <c r="F732" s="303"/>
      <c r="G732" s="303"/>
      <c r="H732" s="303"/>
      <c r="I732" s="303"/>
      <c r="J732" s="303"/>
      <c r="K732" s="303"/>
      <c r="L732" s="303"/>
      <c r="M732" s="303"/>
      <c r="N732" s="303"/>
    </row>
    <row r="733" spans="1:14" ht="19.5" customHeight="1">
      <c r="A733" s="323">
        <v>112</v>
      </c>
      <c r="B733" s="404" t="s">
        <v>472</v>
      </c>
      <c r="C733" s="373" t="s">
        <v>223</v>
      </c>
      <c r="D733" s="54" t="s">
        <v>120</v>
      </c>
      <c r="E733" s="50">
        <f>E734+E735+E736+E737+E738</f>
        <v>300</v>
      </c>
      <c r="F733" s="51">
        <v>3</v>
      </c>
      <c r="G733" s="52">
        <f>SUM(G734:G738)</f>
        <v>0.816</v>
      </c>
      <c r="H733" s="52">
        <f>H734+H735+H736</f>
        <v>40.5</v>
      </c>
      <c r="I733" s="53">
        <f>I735+I736</f>
        <v>0.503</v>
      </c>
      <c r="J733" s="53"/>
      <c r="K733" s="53"/>
      <c r="L733" s="53">
        <f>L734</f>
        <v>0.05</v>
      </c>
      <c r="M733" s="53"/>
      <c r="N733" s="53"/>
    </row>
    <row r="734" spans="1:14" ht="10.5" customHeight="1">
      <c r="A734" s="324"/>
      <c r="B734" s="405"/>
      <c r="C734" s="348"/>
      <c r="D734" s="71">
        <v>2011</v>
      </c>
      <c r="E734" s="50">
        <v>50</v>
      </c>
      <c r="F734" s="51">
        <v>3</v>
      </c>
      <c r="G734" s="52">
        <v>0.02</v>
      </c>
      <c r="H734" s="52">
        <v>23</v>
      </c>
      <c r="I734" s="53"/>
      <c r="J734" s="53"/>
      <c r="K734" s="53"/>
      <c r="L734" s="53">
        <v>0.05</v>
      </c>
      <c r="M734" s="53"/>
      <c r="N734" s="53"/>
    </row>
    <row r="735" spans="1:14" ht="10.5" customHeight="1">
      <c r="A735" s="324"/>
      <c r="B735" s="405"/>
      <c r="C735" s="348"/>
      <c r="D735" s="71">
        <v>2012</v>
      </c>
      <c r="E735" s="50">
        <v>50</v>
      </c>
      <c r="F735" s="51">
        <v>3</v>
      </c>
      <c r="G735" s="52">
        <v>0.586</v>
      </c>
      <c r="H735" s="52">
        <v>11</v>
      </c>
      <c r="I735" s="53">
        <v>0.5</v>
      </c>
      <c r="J735" s="53"/>
      <c r="K735" s="53"/>
      <c r="L735" s="53"/>
      <c r="M735" s="53"/>
      <c r="N735" s="53"/>
    </row>
    <row r="736" spans="1:14" ht="10.5" customHeight="1">
      <c r="A736" s="324"/>
      <c r="B736" s="405"/>
      <c r="C736" s="348"/>
      <c r="D736" s="71">
        <v>2013</v>
      </c>
      <c r="E736" s="50">
        <v>40</v>
      </c>
      <c r="F736" s="51">
        <v>3</v>
      </c>
      <c r="G736" s="52">
        <v>0.01</v>
      </c>
      <c r="H736" s="52">
        <v>6.5</v>
      </c>
      <c r="I736" s="53">
        <v>0.003</v>
      </c>
      <c r="J736" s="53"/>
      <c r="K736" s="53"/>
      <c r="L736" s="53"/>
      <c r="M736" s="53"/>
      <c r="N736" s="53"/>
    </row>
    <row r="737" spans="1:14" ht="10.5" customHeight="1">
      <c r="A737" s="324"/>
      <c r="B737" s="405"/>
      <c r="C737" s="348"/>
      <c r="D737" s="71">
        <v>2014</v>
      </c>
      <c r="E737" s="50">
        <v>110</v>
      </c>
      <c r="F737" s="51">
        <v>3</v>
      </c>
      <c r="G737" s="52">
        <v>0.1</v>
      </c>
      <c r="H737" s="52"/>
      <c r="I737" s="53"/>
      <c r="J737" s="53"/>
      <c r="K737" s="53"/>
      <c r="L737" s="53"/>
      <c r="M737" s="53"/>
      <c r="N737" s="53"/>
    </row>
    <row r="738" spans="1:14" ht="10.5" customHeight="1">
      <c r="A738" s="325"/>
      <c r="B738" s="406"/>
      <c r="C738" s="349"/>
      <c r="D738" s="71">
        <v>2015</v>
      </c>
      <c r="E738" s="50">
        <v>50</v>
      </c>
      <c r="F738" s="51">
        <v>3</v>
      </c>
      <c r="G738" s="52">
        <v>0.1</v>
      </c>
      <c r="H738" s="52"/>
      <c r="I738" s="53"/>
      <c r="J738" s="53"/>
      <c r="K738" s="53"/>
      <c r="L738" s="53"/>
      <c r="M738" s="53"/>
      <c r="N738" s="53"/>
    </row>
    <row r="739" spans="1:14" ht="12" customHeight="1">
      <c r="A739" s="326" t="s">
        <v>224</v>
      </c>
      <c r="B739" s="327"/>
      <c r="C739" s="327"/>
      <c r="D739" s="327"/>
      <c r="E739" s="327"/>
      <c r="F739" s="327"/>
      <c r="G739" s="327"/>
      <c r="H739" s="327"/>
      <c r="I739" s="327"/>
      <c r="J739" s="327"/>
      <c r="K739" s="327"/>
      <c r="L739" s="327"/>
      <c r="M739" s="327"/>
      <c r="N739" s="328"/>
    </row>
    <row r="740" spans="1:14" ht="12.75" customHeight="1">
      <c r="A740" s="302" t="s">
        <v>378</v>
      </c>
      <c r="B740" s="303"/>
      <c r="C740" s="303"/>
      <c r="D740" s="303"/>
      <c r="E740" s="303"/>
      <c r="F740" s="303"/>
      <c r="G740" s="303"/>
      <c r="H740" s="303"/>
      <c r="I740" s="303"/>
      <c r="J740" s="303"/>
      <c r="K740" s="303"/>
      <c r="L740" s="303"/>
      <c r="M740" s="303"/>
      <c r="N740" s="303"/>
    </row>
    <row r="741" spans="1:14" ht="21.75" customHeight="1">
      <c r="A741" s="322">
        <v>113</v>
      </c>
      <c r="B741" s="390" t="s">
        <v>373</v>
      </c>
      <c r="C741" s="322" t="s">
        <v>411</v>
      </c>
      <c r="D741" s="17" t="s">
        <v>419</v>
      </c>
      <c r="E741" s="78" t="s">
        <v>374</v>
      </c>
      <c r="F741" s="123" t="s">
        <v>374</v>
      </c>
      <c r="G741" s="78">
        <f>SUM(G742:G745)</f>
        <v>0.16</v>
      </c>
      <c r="H741" s="78">
        <f>SUM(H742:H745)</f>
        <v>103.68</v>
      </c>
      <c r="I741" s="124"/>
      <c r="J741" s="124"/>
      <c r="K741" s="124"/>
      <c r="L741" s="124">
        <f>SUM(L742:L745)</f>
        <v>0.41000000000000003</v>
      </c>
      <c r="M741" s="124"/>
      <c r="N741" s="124"/>
    </row>
    <row r="742" spans="1:14" ht="10.5" customHeight="1">
      <c r="A742" s="322"/>
      <c r="B742" s="390"/>
      <c r="C742" s="322"/>
      <c r="D742" s="125">
        <v>2011</v>
      </c>
      <c r="E742" s="78" t="s">
        <v>374</v>
      </c>
      <c r="F742" s="123" t="s">
        <v>374</v>
      </c>
      <c r="G742" s="78">
        <v>0.04</v>
      </c>
      <c r="H742" s="78">
        <v>25.92</v>
      </c>
      <c r="I742" s="124"/>
      <c r="J742" s="124"/>
      <c r="K742" s="124"/>
      <c r="L742" s="124">
        <v>0.11</v>
      </c>
      <c r="M742" s="124"/>
      <c r="N742" s="124"/>
    </row>
    <row r="743" spans="1:14" ht="10.5" customHeight="1">
      <c r="A743" s="322"/>
      <c r="B743" s="390"/>
      <c r="C743" s="322"/>
      <c r="D743" s="125">
        <v>2012</v>
      </c>
      <c r="E743" s="78" t="s">
        <v>374</v>
      </c>
      <c r="F743" s="123" t="s">
        <v>374</v>
      </c>
      <c r="G743" s="78">
        <v>0.04</v>
      </c>
      <c r="H743" s="78">
        <v>25.92</v>
      </c>
      <c r="I743" s="124"/>
      <c r="J743" s="124"/>
      <c r="K743" s="124"/>
      <c r="L743" s="124">
        <v>0.1</v>
      </c>
      <c r="M743" s="124"/>
      <c r="N743" s="124"/>
    </row>
    <row r="744" spans="1:14" ht="10.5" customHeight="1">
      <c r="A744" s="322"/>
      <c r="B744" s="390"/>
      <c r="C744" s="322"/>
      <c r="D744" s="125">
        <v>2013</v>
      </c>
      <c r="E744" s="78" t="s">
        <v>374</v>
      </c>
      <c r="F744" s="123" t="s">
        <v>374</v>
      </c>
      <c r="G744" s="78">
        <v>0.04</v>
      </c>
      <c r="H744" s="78">
        <v>25.92</v>
      </c>
      <c r="I744" s="124"/>
      <c r="J744" s="124"/>
      <c r="K744" s="124"/>
      <c r="L744" s="124">
        <v>0.1</v>
      </c>
      <c r="M744" s="124"/>
      <c r="N744" s="124"/>
    </row>
    <row r="745" spans="1:14" ht="10.5" customHeight="1">
      <c r="A745" s="322"/>
      <c r="B745" s="390"/>
      <c r="C745" s="322"/>
      <c r="D745" s="125">
        <v>2014</v>
      </c>
      <c r="E745" s="78" t="s">
        <v>374</v>
      </c>
      <c r="F745" s="123" t="s">
        <v>374</v>
      </c>
      <c r="G745" s="78">
        <v>0.04</v>
      </c>
      <c r="H745" s="78">
        <v>25.92</v>
      </c>
      <c r="I745" s="124"/>
      <c r="J745" s="124"/>
      <c r="K745" s="124"/>
      <c r="L745" s="124">
        <v>0.1</v>
      </c>
      <c r="M745" s="124"/>
      <c r="N745" s="124"/>
    </row>
    <row r="746" spans="1:14" ht="10.5" customHeight="1">
      <c r="A746" s="322">
        <v>114</v>
      </c>
      <c r="B746" s="390" t="s">
        <v>375</v>
      </c>
      <c r="C746" s="322" t="s">
        <v>61</v>
      </c>
      <c r="D746" s="322">
        <v>2011</v>
      </c>
      <c r="E746" s="78">
        <v>1050</v>
      </c>
      <c r="F746" s="123">
        <v>1</v>
      </c>
      <c r="G746" s="337">
        <v>0.67</v>
      </c>
      <c r="H746" s="337">
        <v>454.4</v>
      </c>
      <c r="I746" s="329"/>
      <c r="J746" s="329"/>
      <c r="K746" s="329"/>
      <c r="L746" s="329">
        <v>1.9</v>
      </c>
      <c r="M746" s="329"/>
      <c r="N746" s="329"/>
    </row>
    <row r="747" spans="1:14" ht="12" customHeight="1">
      <c r="A747" s="322"/>
      <c r="B747" s="390"/>
      <c r="C747" s="322"/>
      <c r="D747" s="322"/>
      <c r="E747" s="78">
        <v>450</v>
      </c>
      <c r="F747" s="123">
        <v>2</v>
      </c>
      <c r="G747" s="337"/>
      <c r="H747" s="337"/>
      <c r="I747" s="329"/>
      <c r="J747" s="329"/>
      <c r="K747" s="329"/>
      <c r="L747" s="329"/>
      <c r="M747" s="329"/>
      <c r="N747" s="329"/>
    </row>
    <row r="748" spans="1:14" ht="11.25" customHeight="1">
      <c r="A748" s="322"/>
      <c r="B748" s="390"/>
      <c r="C748" s="322"/>
      <c r="D748" s="322"/>
      <c r="E748" s="78">
        <f>SUM(E746:E747)</f>
        <v>1500</v>
      </c>
      <c r="F748" s="123">
        <v>5</v>
      </c>
      <c r="G748" s="337"/>
      <c r="H748" s="337"/>
      <c r="I748" s="329"/>
      <c r="J748" s="329"/>
      <c r="K748" s="329"/>
      <c r="L748" s="329"/>
      <c r="M748" s="329"/>
      <c r="N748" s="329"/>
    </row>
    <row r="749" spans="1:14" ht="11.25" customHeight="1">
      <c r="A749" s="322">
        <v>115</v>
      </c>
      <c r="B749" s="390" t="s">
        <v>376</v>
      </c>
      <c r="C749" s="322" t="s">
        <v>412</v>
      </c>
      <c r="D749" s="322" t="s">
        <v>455</v>
      </c>
      <c r="E749" s="78">
        <f>SUM(E752+E755+E758+E761)</f>
        <v>7270</v>
      </c>
      <c r="F749" s="123">
        <v>1</v>
      </c>
      <c r="G749" s="329"/>
      <c r="H749" s="329"/>
      <c r="I749" s="329"/>
      <c r="J749" s="329"/>
      <c r="K749" s="329"/>
      <c r="L749" s="329"/>
      <c r="M749" s="329"/>
      <c r="N749" s="329"/>
    </row>
    <row r="750" spans="1:14" ht="10.5" customHeight="1">
      <c r="A750" s="322"/>
      <c r="B750" s="390"/>
      <c r="C750" s="322"/>
      <c r="D750" s="322"/>
      <c r="E750" s="78">
        <f>SUM(E753+E756+E759+E762)</f>
        <v>3120</v>
      </c>
      <c r="F750" s="123">
        <v>2</v>
      </c>
      <c r="G750" s="329"/>
      <c r="H750" s="329"/>
      <c r="I750" s="329"/>
      <c r="J750" s="329"/>
      <c r="K750" s="329"/>
      <c r="L750" s="329"/>
      <c r="M750" s="329"/>
      <c r="N750" s="329"/>
    </row>
    <row r="751" spans="1:14" ht="10.5" customHeight="1">
      <c r="A751" s="322"/>
      <c r="B751" s="390"/>
      <c r="C751" s="322"/>
      <c r="D751" s="322"/>
      <c r="E751" s="78">
        <f>SUM(E749:E750)</f>
        <v>10390</v>
      </c>
      <c r="F751" s="123">
        <v>5</v>
      </c>
      <c r="G751" s="329"/>
      <c r="H751" s="329"/>
      <c r="I751" s="329"/>
      <c r="J751" s="329"/>
      <c r="K751" s="329"/>
      <c r="L751" s="329"/>
      <c r="M751" s="329"/>
      <c r="N751" s="329"/>
    </row>
    <row r="752" spans="1:14" ht="10.5" customHeight="1">
      <c r="A752" s="322"/>
      <c r="B752" s="390"/>
      <c r="C752" s="322"/>
      <c r="D752" s="428">
        <v>2011</v>
      </c>
      <c r="E752" s="78">
        <v>1750</v>
      </c>
      <c r="F752" s="123">
        <v>1</v>
      </c>
      <c r="G752" s="329"/>
      <c r="H752" s="329"/>
      <c r="I752" s="329"/>
      <c r="J752" s="329"/>
      <c r="K752" s="329"/>
      <c r="L752" s="329"/>
      <c r="M752" s="329"/>
      <c r="N752" s="329"/>
    </row>
    <row r="753" spans="1:14" ht="10.5" customHeight="1">
      <c r="A753" s="322"/>
      <c r="B753" s="390"/>
      <c r="C753" s="322"/>
      <c r="D753" s="428"/>
      <c r="E753" s="78">
        <v>750</v>
      </c>
      <c r="F753" s="123">
        <v>2</v>
      </c>
      <c r="G753" s="329"/>
      <c r="H753" s="329"/>
      <c r="I753" s="329"/>
      <c r="J753" s="329"/>
      <c r="K753" s="329"/>
      <c r="L753" s="329"/>
      <c r="M753" s="329"/>
      <c r="N753" s="329"/>
    </row>
    <row r="754" spans="1:14" ht="10.5" customHeight="1">
      <c r="A754" s="322"/>
      <c r="B754" s="390"/>
      <c r="C754" s="322"/>
      <c r="D754" s="428"/>
      <c r="E754" s="78">
        <f>SUM(E752:E753)</f>
        <v>2500</v>
      </c>
      <c r="F754" s="123">
        <v>5</v>
      </c>
      <c r="G754" s="329"/>
      <c r="H754" s="329"/>
      <c r="I754" s="329"/>
      <c r="J754" s="329"/>
      <c r="K754" s="329"/>
      <c r="L754" s="329"/>
      <c r="M754" s="329"/>
      <c r="N754" s="329"/>
    </row>
    <row r="755" spans="1:14" ht="10.5" customHeight="1">
      <c r="A755" s="322"/>
      <c r="B755" s="390"/>
      <c r="C755" s="322"/>
      <c r="D755" s="428">
        <v>2012</v>
      </c>
      <c r="E755" s="78">
        <v>2020</v>
      </c>
      <c r="F755" s="123">
        <v>1</v>
      </c>
      <c r="G755" s="329"/>
      <c r="H755" s="329"/>
      <c r="I755" s="329"/>
      <c r="J755" s="329"/>
      <c r="K755" s="329"/>
      <c r="L755" s="329"/>
      <c r="M755" s="329"/>
      <c r="N755" s="329"/>
    </row>
    <row r="756" spans="1:14" ht="10.5" customHeight="1">
      <c r="A756" s="322"/>
      <c r="B756" s="390"/>
      <c r="C756" s="322"/>
      <c r="D756" s="428"/>
      <c r="E756" s="78">
        <v>870</v>
      </c>
      <c r="F756" s="123">
        <v>2</v>
      </c>
      <c r="G756" s="329"/>
      <c r="H756" s="329"/>
      <c r="I756" s="329"/>
      <c r="J756" s="329"/>
      <c r="K756" s="329"/>
      <c r="L756" s="329"/>
      <c r="M756" s="329"/>
      <c r="N756" s="329"/>
    </row>
    <row r="757" spans="1:14" ht="10.5" customHeight="1">
      <c r="A757" s="322"/>
      <c r="B757" s="390"/>
      <c r="C757" s="322"/>
      <c r="D757" s="428"/>
      <c r="E757" s="78">
        <f>SUM(E755:E756)</f>
        <v>2890</v>
      </c>
      <c r="F757" s="123">
        <v>5</v>
      </c>
      <c r="G757" s="329"/>
      <c r="H757" s="329"/>
      <c r="I757" s="329"/>
      <c r="J757" s="329"/>
      <c r="K757" s="329"/>
      <c r="L757" s="329"/>
      <c r="M757" s="329"/>
      <c r="N757" s="329"/>
    </row>
    <row r="758" spans="1:14" ht="10.5" customHeight="1">
      <c r="A758" s="322"/>
      <c r="B758" s="390"/>
      <c r="C758" s="322"/>
      <c r="D758" s="428">
        <v>2013</v>
      </c>
      <c r="E758" s="78">
        <v>1750</v>
      </c>
      <c r="F758" s="123">
        <v>1</v>
      </c>
      <c r="G758" s="329"/>
      <c r="H758" s="329"/>
      <c r="I758" s="329"/>
      <c r="J758" s="329"/>
      <c r="K758" s="329"/>
      <c r="L758" s="329"/>
      <c r="M758" s="329"/>
      <c r="N758" s="329"/>
    </row>
    <row r="759" spans="1:14" ht="10.5" customHeight="1">
      <c r="A759" s="322"/>
      <c r="B759" s="390"/>
      <c r="C759" s="322"/>
      <c r="D759" s="428"/>
      <c r="E759" s="78">
        <v>750</v>
      </c>
      <c r="F759" s="123">
        <v>2</v>
      </c>
      <c r="G759" s="329"/>
      <c r="H759" s="329"/>
      <c r="I759" s="329"/>
      <c r="J759" s="329"/>
      <c r="K759" s="329"/>
      <c r="L759" s="329"/>
      <c r="M759" s="329"/>
      <c r="N759" s="329"/>
    </row>
    <row r="760" spans="1:14" ht="10.5" customHeight="1">
      <c r="A760" s="322"/>
      <c r="B760" s="390"/>
      <c r="C760" s="322"/>
      <c r="D760" s="428"/>
      <c r="E760" s="78">
        <f>SUM(E758:E759)</f>
        <v>2500</v>
      </c>
      <c r="F760" s="123">
        <v>5</v>
      </c>
      <c r="G760" s="329"/>
      <c r="H760" s="329"/>
      <c r="I760" s="329"/>
      <c r="J760" s="329"/>
      <c r="K760" s="329"/>
      <c r="L760" s="329"/>
      <c r="M760" s="329"/>
      <c r="N760" s="329"/>
    </row>
    <row r="761" spans="1:14" ht="10.5" customHeight="1">
      <c r="A761" s="322"/>
      <c r="B761" s="390"/>
      <c r="C761" s="322"/>
      <c r="D761" s="428">
        <v>2014</v>
      </c>
      <c r="E761" s="78">
        <v>1750</v>
      </c>
      <c r="F761" s="123">
        <v>1</v>
      </c>
      <c r="G761" s="329"/>
      <c r="H761" s="329"/>
      <c r="I761" s="329"/>
      <c r="J761" s="329"/>
      <c r="K761" s="329"/>
      <c r="L761" s="329"/>
      <c r="M761" s="329"/>
      <c r="N761" s="329"/>
    </row>
    <row r="762" spans="1:14" ht="10.5" customHeight="1">
      <c r="A762" s="322"/>
      <c r="B762" s="390"/>
      <c r="C762" s="322"/>
      <c r="D762" s="428"/>
      <c r="E762" s="78">
        <v>750</v>
      </c>
      <c r="F762" s="123">
        <v>2</v>
      </c>
      <c r="G762" s="329"/>
      <c r="H762" s="329"/>
      <c r="I762" s="329"/>
      <c r="J762" s="329"/>
      <c r="K762" s="329"/>
      <c r="L762" s="329"/>
      <c r="M762" s="329"/>
      <c r="N762" s="329"/>
    </row>
    <row r="763" spans="1:14" ht="10.5" customHeight="1">
      <c r="A763" s="322"/>
      <c r="B763" s="390"/>
      <c r="C763" s="322"/>
      <c r="D763" s="428"/>
      <c r="E763" s="78">
        <f>SUM(E761:E762)</f>
        <v>2500</v>
      </c>
      <c r="F763" s="123">
        <v>5</v>
      </c>
      <c r="G763" s="329"/>
      <c r="H763" s="329"/>
      <c r="I763" s="329"/>
      <c r="J763" s="329"/>
      <c r="K763" s="329"/>
      <c r="L763" s="329"/>
      <c r="M763" s="329"/>
      <c r="N763" s="329"/>
    </row>
    <row r="764" spans="1:14" ht="11.25" customHeight="1">
      <c r="A764" s="407">
        <v>116</v>
      </c>
      <c r="B764" s="407" t="s">
        <v>377</v>
      </c>
      <c r="C764" s="407" t="s">
        <v>38</v>
      </c>
      <c r="D764" s="407" t="s">
        <v>457</v>
      </c>
      <c r="E764" s="126">
        <f>SUM(E769+E774+E779+E784+E789)</f>
        <v>48048</v>
      </c>
      <c r="F764" s="127">
        <v>1</v>
      </c>
      <c r="G764" s="334">
        <f>SUM(G769:G793)</f>
        <v>0.91</v>
      </c>
      <c r="H764" s="334">
        <f>SUM(H769:H793)</f>
        <v>2605.75</v>
      </c>
      <c r="I764" s="329"/>
      <c r="J764" s="329"/>
      <c r="K764" s="329"/>
      <c r="L764" s="304">
        <f>SUM(L769:L793)</f>
        <v>1.26</v>
      </c>
      <c r="M764" s="304">
        <f>SUM(M769:M793)</f>
        <v>3.91</v>
      </c>
      <c r="N764" s="304"/>
    </row>
    <row r="765" spans="1:14" ht="11.25" customHeight="1">
      <c r="A765" s="408"/>
      <c r="B765" s="408"/>
      <c r="C765" s="331"/>
      <c r="D765" s="331"/>
      <c r="E765" s="126">
        <f>SUM(E770+E775+E780+E785+E790)</f>
        <v>1857.3</v>
      </c>
      <c r="F765" s="127">
        <v>2</v>
      </c>
      <c r="G765" s="692"/>
      <c r="H765" s="692"/>
      <c r="I765" s="329"/>
      <c r="J765" s="329"/>
      <c r="K765" s="329"/>
      <c r="L765" s="386"/>
      <c r="M765" s="386"/>
      <c r="N765" s="305"/>
    </row>
    <row r="766" spans="1:14" ht="11.25" customHeight="1">
      <c r="A766" s="408"/>
      <c r="B766" s="408"/>
      <c r="C766" s="331"/>
      <c r="D766" s="331"/>
      <c r="E766" s="126">
        <f>SUM(E771+E776+E781+E786+E791)</f>
        <v>80</v>
      </c>
      <c r="F766" s="127" t="s">
        <v>258</v>
      </c>
      <c r="G766" s="692"/>
      <c r="H766" s="692"/>
      <c r="I766" s="329"/>
      <c r="J766" s="329"/>
      <c r="K766" s="329"/>
      <c r="L766" s="386"/>
      <c r="M766" s="386"/>
      <c r="N766" s="305"/>
    </row>
    <row r="767" spans="1:14" ht="11.25" customHeight="1">
      <c r="A767" s="408"/>
      <c r="B767" s="408"/>
      <c r="C767" s="408"/>
      <c r="D767" s="408"/>
      <c r="E767" s="129">
        <f>SUM(E772+E777+E782+E787+E792)</f>
        <v>100</v>
      </c>
      <c r="F767" s="85">
        <v>4</v>
      </c>
      <c r="G767" s="692"/>
      <c r="H767" s="692"/>
      <c r="I767" s="329"/>
      <c r="J767" s="329"/>
      <c r="K767" s="329"/>
      <c r="L767" s="386"/>
      <c r="M767" s="386"/>
      <c r="N767" s="386"/>
    </row>
    <row r="768" spans="1:14" ht="11.25" customHeight="1">
      <c r="A768" s="408"/>
      <c r="B768" s="408"/>
      <c r="C768" s="408"/>
      <c r="D768" s="409"/>
      <c r="E768" s="126">
        <f>SUM(E764+E765+E767)</f>
        <v>50005.3</v>
      </c>
      <c r="F768" s="127">
        <v>5</v>
      </c>
      <c r="G768" s="693"/>
      <c r="H768" s="693"/>
      <c r="I768" s="329"/>
      <c r="J768" s="329"/>
      <c r="K768" s="329"/>
      <c r="L768" s="387"/>
      <c r="M768" s="387"/>
      <c r="N768" s="387"/>
    </row>
    <row r="769" spans="1:14" ht="11.25" customHeight="1">
      <c r="A769" s="408"/>
      <c r="B769" s="408"/>
      <c r="C769" s="408"/>
      <c r="D769" s="322">
        <v>2011</v>
      </c>
      <c r="E769" s="126">
        <f>10000+486+313+250</f>
        <v>11049</v>
      </c>
      <c r="F769" s="127">
        <v>1</v>
      </c>
      <c r="G769" s="337">
        <f>0.01+0.02+0.09+0.012</f>
        <v>0.132</v>
      </c>
      <c r="H769" s="337">
        <f>21.67+31+194.04+65.52</f>
        <v>312.22999999999996</v>
      </c>
      <c r="I769" s="329"/>
      <c r="J769" s="329"/>
      <c r="K769" s="329"/>
      <c r="L769" s="329">
        <f>0.252</f>
        <v>0.252</v>
      </c>
      <c r="M769" s="329">
        <f>0.07+0.1+0.084</f>
        <v>0.254</v>
      </c>
      <c r="N769" s="329"/>
    </row>
    <row r="770" spans="1:14" ht="11.25" customHeight="1">
      <c r="A770" s="408"/>
      <c r="B770" s="408"/>
      <c r="C770" s="408"/>
      <c r="D770" s="322"/>
      <c r="E770" s="126">
        <f>54+47+180+12.5+33.96</f>
        <v>327.46</v>
      </c>
      <c r="F770" s="127">
        <v>2</v>
      </c>
      <c r="G770" s="337"/>
      <c r="H770" s="337"/>
      <c r="I770" s="329"/>
      <c r="J770" s="329"/>
      <c r="K770" s="329"/>
      <c r="L770" s="329"/>
      <c r="M770" s="329"/>
      <c r="N770" s="329"/>
    </row>
    <row r="771" spans="1:14" ht="11.25" customHeight="1">
      <c r="A771" s="408"/>
      <c r="B771" s="408"/>
      <c r="C771" s="408"/>
      <c r="D771" s="322"/>
      <c r="E771" s="126">
        <f>16</f>
        <v>16</v>
      </c>
      <c r="F771" s="127" t="s">
        <v>258</v>
      </c>
      <c r="G771" s="337"/>
      <c r="H771" s="337"/>
      <c r="I771" s="329"/>
      <c r="J771" s="329"/>
      <c r="K771" s="329"/>
      <c r="L771" s="329"/>
      <c r="M771" s="329"/>
      <c r="N771" s="329"/>
    </row>
    <row r="772" spans="1:14" ht="11.25" customHeight="1">
      <c r="A772" s="408"/>
      <c r="B772" s="408"/>
      <c r="C772" s="408"/>
      <c r="D772" s="322"/>
      <c r="E772" s="126">
        <f>20</f>
        <v>20</v>
      </c>
      <c r="F772" s="127">
        <v>4</v>
      </c>
      <c r="G772" s="337"/>
      <c r="H772" s="337"/>
      <c r="I772" s="329"/>
      <c r="J772" s="329"/>
      <c r="K772" s="329"/>
      <c r="L772" s="329"/>
      <c r="M772" s="329"/>
      <c r="N772" s="329"/>
    </row>
    <row r="773" spans="1:14" ht="11.25" customHeight="1">
      <c r="A773" s="408"/>
      <c r="B773" s="408"/>
      <c r="C773" s="408"/>
      <c r="D773" s="322"/>
      <c r="E773" s="126">
        <f>SUM(E769+E770+E772)</f>
        <v>11396.46</v>
      </c>
      <c r="F773" s="127">
        <v>5</v>
      </c>
      <c r="G773" s="337"/>
      <c r="H773" s="337"/>
      <c r="I773" s="329"/>
      <c r="J773" s="329"/>
      <c r="K773" s="329"/>
      <c r="L773" s="329"/>
      <c r="M773" s="329"/>
      <c r="N773" s="329"/>
    </row>
    <row r="774" spans="1:14" ht="11.25" customHeight="1">
      <c r="A774" s="408"/>
      <c r="B774" s="408"/>
      <c r="C774" s="408"/>
      <c r="D774" s="322">
        <v>2012</v>
      </c>
      <c r="E774" s="126">
        <f>10000+486+474+250</f>
        <v>11210</v>
      </c>
      <c r="F774" s="127">
        <v>1</v>
      </c>
      <c r="G774" s="337">
        <f>0.01+0.02+0.09+0.012</f>
        <v>0.132</v>
      </c>
      <c r="H774" s="337">
        <f>21.67+46.5+194.04+65.52</f>
        <v>327.72999999999996</v>
      </c>
      <c r="I774" s="329"/>
      <c r="J774" s="329"/>
      <c r="K774" s="329"/>
      <c r="L774" s="329">
        <f>0.252</f>
        <v>0.252</v>
      </c>
      <c r="M774" s="329">
        <f>0.07+0.15+0.084</f>
        <v>0.304</v>
      </c>
      <c r="N774" s="329"/>
    </row>
    <row r="775" spans="1:14" ht="11.25" customHeight="1">
      <c r="A775" s="408"/>
      <c r="B775" s="408"/>
      <c r="C775" s="408"/>
      <c r="D775" s="322"/>
      <c r="E775" s="126">
        <f>54+71+180+12.5+33.96</f>
        <v>351.46</v>
      </c>
      <c r="F775" s="127">
        <v>2</v>
      </c>
      <c r="G775" s="337"/>
      <c r="H775" s="337"/>
      <c r="I775" s="329"/>
      <c r="J775" s="329"/>
      <c r="K775" s="329"/>
      <c r="L775" s="329"/>
      <c r="M775" s="329"/>
      <c r="N775" s="329"/>
    </row>
    <row r="776" spans="1:14" ht="11.25" customHeight="1">
      <c r="A776" s="408"/>
      <c r="B776" s="408"/>
      <c r="C776" s="408"/>
      <c r="D776" s="322"/>
      <c r="E776" s="126">
        <f>16</f>
        <v>16</v>
      </c>
      <c r="F776" s="127" t="s">
        <v>258</v>
      </c>
      <c r="G776" s="337"/>
      <c r="H776" s="337"/>
      <c r="I776" s="329"/>
      <c r="J776" s="329"/>
      <c r="K776" s="329"/>
      <c r="L776" s="329"/>
      <c r="M776" s="329"/>
      <c r="N776" s="329"/>
    </row>
    <row r="777" spans="1:14" ht="10.5" customHeight="1">
      <c r="A777" s="408"/>
      <c r="B777" s="408"/>
      <c r="C777" s="408"/>
      <c r="D777" s="322"/>
      <c r="E777" s="126">
        <f>20</f>
        <v>20</v>
      </c>
      <c r="F777" s="127">
        <v>4</v>
      </c>
      <c r="G777" s="337"/>
      <c r="H777" s="337"/>
      <c r="I777" s="329"/>
      <c r="J777" s="329"/>
      <c r="K777" s="329"/>
      <c r="L777" s="329"/>
      <c r="M777" s="329"/>
      <c r="N777" s="329"/>
    </row>
    <row r="778" spans="1:14" ht="10.5" customHeight="1">
      <c r="A778" s="408"/>
      <c r="B778" s="408"/>
      <c r="C778" s="408"/>
      <c r="D778" s="322"/>
      <c r="E778" s="126">
        <f>SUM(E774+E775+E777)</f>
        <v>11581.46</v>
      </c>
      <c r="F778" s="127">
        <v>5</v>
      </c>
      <c r="G778" s="337"/>
      <c r="H778" s="337"/>
      <c r="I778" s="329"/>
      <c r="J778" s="329"/>
      <c r="K778" s="329"/>
      <c r="L778" s="329"/>
      <c r="M778" s="329"/>
      <c r="N778" s="329"/>
    </row>
    <row r="779" spans="1:14" ht="11.25" customHeight="1">
      <c r="A779" s="408"/>
      <c r="B779" s="408"/>
      <c r="C779" s="408"/>
      <c r="D779" s="322">
        <v>2013</v>
      </c>
      <c r="E779" s="126">
        <f>10000+486+487+250</f>
        <v>11223</v>
      </c>
      <c r="F779" s="127">
        <v>1</v>
      </c>
      <c r="G779" s="337">
        <f>0.01+0.02+0.09+0.012</f>
        <v>0.132</v>
      </c>
      <c r="H779" s="337">
        <f>21.67+46.5+194.04+65.52</f>
        <v>327.72999999999996</v>
      </c>
      <c r="I779" s="329"/>
      <c r="J779" s="329"/>
      <c r="K779" s="329"/>
      <c r="L779" s="329">
        <f>0.252</f>
        <v>0.252</v>
      </c>
      <c r="M779" s="329">
        <f>0.07+0.15+0.084</f>
        <v>0.304</v>
      </c>
      <c r="N779" s="329"/>
    </row>
    <row r="780" spans="1:14" ht="11.25" customHeight="1">
      <c r="A780" s="408"/>
      <c r="B780" s="408"/>
      <c r="C780" s="408"/>
      <c r="D780" s="322"/>
      <c r="E780" s="126">
        <f>54+73+180+12.5+33.96</f>
        <v>353.46</v>
      </c>
      <c r="F780" s="127">
        <v>2</v>
      </c>
      <c r="G780" s="337"/>
      <c r="H780" s="337"/>
      <c r="I780" s="329"/>
      <c r="J780" s="329"/>
      <c r="K780" s="329"/>
      <c r="L780" s="329"/>
      <c r="M780" s="329"/>
      <c r="N780" s="329"/>
    </row>
    <row r="781" spans="1:14" ht="11.25" customHeight="1">
      <c r="A781" s="408"/>
      <c r="B781" s="408"/>
      <c r="C781" s="408"/>
      <c r="D781" s="322"/>
      <c r="E781" s="126">
        <f>16</f>
        <v>16</v>
      </c>
      <c r="F781" s="127" t="s">
        <v>258</v>
      </c>
      <c r="G781" s="337"/>
      <c r="H781" s="337"/>
      <c r="I781" s="329"/>
      <c r="J781" s="329"/>
      <c r="K781" s="329"/>
      <c r="L781" s="329"/>
      <c r="M781" s="329"/>
      <c r="N781" s="329"/>
    </row>
    <row r="782" spans="1:14" ht="11.25" customHeight="1">
      <c r="A782" s="408"/>
      <c r="B782" s="408"/>
      <c r="C782" s="408"/>
      <c r="D782" s="322"/>
      <c r="E782" s="126">
        <f>20</f>
        <v>20</v>
      </c>
      <c r="F782" s="127">
        <v>4</v>
      </c>
      <c r="G782" s="337"/>
      <c r="H782" s="337"/>
      <c r="I782" s="329"/>
      <c r="J782" s="329"/>
      <c r="K782" s="329"/>
      <c r="L782" s="329"/>
      <c r="M782" s="329"/>
      <c r="N782" s="329"/>
    </row>
    <row r="783" spans="1:14" ht="11.25" customHeight="1">
      <c r="A783" s="408"/>
      <c r="B783" s="408"/>
      <c r="C783" s="408"/>
      <c r="D783" s="322"/>
      <c r="E783" s="126">
        <f>SUM(E779+E780+E782)</f>
        <v>11596.46</v>
      </c>
      <c r="F783" s="127">
        <v>5</v>
      </c>
      <c r="G783" s="337"/>
      <c r="H783" s="337"/>
      <c r="I783" s="329"/>
      <c r="J783" s="329"/>
      <c r="K783" s="329"/>
      <c r="L783" s="329"/>
      <c r="M783" s="329"/>
      <c r="N783" s="329"/>
    </row>
    <row r="784" spans="1:14" ht="11.25" customHeight="1">
      <c r="A784" s="408"/>
      <c r="B784" s="408"/>
      <c r="C784" s="408"/>
      <c r="D784" s="322">
        <v>2014</v>
      </c>
      <c r="E784" s="126">
        <f>10000+1000+486+694+250</f>
        <v>12430</v>
      </c>
      <c r="F784" s="127">
        <v>1</v>
      </c>
      <c r="G784" s="337">
        <f>0.12+0.01+0.03+0.09+0.012</f>
        <v>0.262</v>
      </c>
      <c r="H784" s="337">
        <f>482+21.67+65.1+194.04+65.52</f>
        <v>828.3299999999999</v>
      </c>
      <c r="I784" s="329"/>
      <c r="J784" s="329"/>
      <c r="K784" s="329"/>
      <c r="L784" s="329">
        <f>0.252</f>
        <v>0.252</v>
      </c>
      <c r="M784" s="329">
        <f>1.19+0.07+0.21+0.084</f>
        <v>1.554</v>
      </c>
      <c r="N784" s="329"/>
    </row>
    <row r="785" spans="1:14" ht="11.25" customHeight="1">
      <c r="A785" s="408"/>
      <c r="B785" s="408"/>
      <c r="C785" s="408"/>
      <c r="D785" s="322"/>
      <c r="E785" s="126">
        <f>54+104+180+12.5+33.96</f>
        <v>384.46</v>
      </c>
      <c r="F785" s="123">
        <v>2</v>
      </c>
      <c r="G785" s="337"/>
      <c r="H785" s="337"/>
      <c r="I785" s="329"/>
      <c r="J785" s="329"/>
      <c r="K785" s="329"/>
      <c r="L785" s="329"/>
      <c r="M785" s="329"/>
      <c r="N785" s="329"/>
    </row>
    <row r="786" spans="1:14" ht="10.5" customHeight="1">
      <c r="A786" s="408"/>
      <c r="B786" s="408"/>
      <c r="C786" s="408"/>
      <c r="D786" s="322"/>
      <c r="E786" s="126">
        <f>16</f>
        <v>16</v>
      </c>
      <c r="F786" s="123" t="s">
        <v>258</v>
      </c>
      <c r="G786" s="337"/>
      <c r="H786" s="337"/>
      <c r="I786" s="329"/>
      <c r="J786" s="329"/>
      <c r="K786" s="329"/>
      <c r="L786" s="329"/>
      <c r="M786" s="329"/>
      <c r="N786" s="329"/>
    </row>
    <row r="787" spans="1:14" ht="10.5" customHeight="1">
      <c r="A787" s="408"/>
      <c r="B787" s="408"/>
      <c r="C787" s="408"/>
      <c r="D787" s="322"/>
      <c r="E787" s="126">
        <f>20</f>
        <v>20</v>
      </c>
      <c r="F787" s="123">
        <v>4</v>
      </c>
      <c r="G787" s="337"/>
      <c r="H787" s="337"/>
      <c r="I787" s="329"/>
      <c r="J787" s="329"/>
      <c r="K787" s="329"/>
      <c r="L787" s="329"/>
      <c r="M787" s="329"/>
      <c r="N787" s="329"/>
    </row>
    <row r="788" spans="1:14" ht="10.5" customHeight="1">
      <c r="A788" s="408"/>
      <c r="B788" s="408"/>
      <c r="C788" s="408"/>
      <c r="D788" s="322"/>
      <c r="E788" s="78">
        <f>SUM(E784+E785+E787)</f>
        <v>12834.46</v>
      </c>
      <c r="F788" s="123">
        <v>5</v>
      </c>
      <c r="G788" s="337"/>
      <c r="H788" s="337"/>
      <c r="I788" s="329"/>
      <c r="J788" s="329"/>
      <c r="K788" s="329"/>
      <c r="L788" s="329"/>
      <c r="M788" s="329"/>
      <c r="N788" s="329"/>
    </row>
    <row r="789" spans="1:14" ht="10.5" customHeight="1">
      <c r="A789" s="408"/>
      <c r="B789" s="408"/>
      <c r="C789" s="408"/>
      <c r="D789" s="322">
        <v>2015</v>
      </c>
      <c r="E789" s="126">
        <f>1000+486+400+250</f>
        <v>2136</v>
      </c>
      <c r="F789" s="123">
        <v>1</v>
      </c>
      <c r="G789" s="337">
        <f>0.12+0.01+0.02+0.09+0.012</f>
        <v>0.252</v>
      </c>
      <c r="H789" s="337">
        <f>482+21.67+46.5+194.04+65.52</f>
        <v>809.73</v>
      </c>
      <c r="I789" s="329"/>
      <c r="J789" s="329"/>
      <c r="K789" s="329"/>
      <c r="L789" s="329">
        <f>0.252</f>
        <v>0.252</v>
      </c>
      <c r="M789" s="329">
        <f>1.19+0.07+0.15+0.084</f>
        <v>1.494</v>
      </c>
      <c r="N789" s="329"/>
    </row>
    <row r="790" spans="1:14" ht="10.5" customHeight="1">
      <c r="A790" s="408"/>
      <c r="B790" s="408"/>
      <c r="C790" s="408"/>
      <c r="D790" s="322"/>
      <c r="E790" s="126">
        <f>54+160+180+12.5+33.96</f>
        <v>440.46</v>
      </c>
      <c r="F790" s="123">
        <v>2</v>
      </c>
      <c r="G790" s="337"/>
      <c r="H790" s="337"/>
      <c r="I790" s="329"/>
      <c r="J790" s="329"/>
      <c r="K790" s="329"/>
      <c r="L790" s="329"/>
      <c r="M790" s="329"/>
      <c r="N790" s="329"/>
    </row>
    <row r="791" spans="1:14" ht="10.5" customHeight="1">
      <c r="A791" s="408"/>
      <c r="B791" s="408"/>
      <c r="C791" s="408"/>
      <c r="D791" s="322"/>
      <c r="E791" s="126">
        <f>16</f>
        <v>16</v>
      </c>
      <c r="F791" s="123" t="s">
        <v>258</v>
      </c>
      <c r="G791" s="337"/>
      <c r="H791" s="337"/>
      <c r="I791" s="329"/>
      <c r="J791" s="329"/>
      <c r="K791" s="329"/>
      <c r="L791" s="329"/>
      <c r="M791" s="329"/>
      <c r="N791" s="329"/>
    </row>
    <row r="792" spans="1:14" ht="10.5" customHeight="1">
      <c r="A792" s="408"/>
      <c r="B792" s="408"/>
      <c r="C792" s="408"/>
      <c r="D792" s="322"/>
      <c r="E792" s="126">
        <f>20</f>
        <v>20</v>
      </c>
      <c r="F792" s="123">
        <v>4</v>
      </c>
      <c r="G792" s="337"/>
      <c r="H792" s="337"/>
      <c r="I792" s="329"/>
      <c r="J792" s="329"/>
      <c r="K792" s="329"/>
      <c r="L792" s="329"/>
      <c r="M792" s="329"/>
      <c r="N792" s="329"/>
    </row>
    <row r="793" spans="1:14" ht="10.5" customHeight="1">
      <c r="A793" s="409"/>
      <c r="B793" s="409"/>
      <c r="C793" s="409"/>
      <c r="D793" s="322"/>
      <c r="E793" s="78">
        <f>SUM(E789+E790+E792)</f>
        <v>2596.46</v>
      </c>
      <c r="F793" s="123">
        <v>5</v>
      </c>
      <c r="G793" s="337"/>
      <c r="H793" s="337"/>
      <c r="I793" s="329"/>
      <c r="J793" s="329"/>
      <c r="K793" s="329"/>
      <c r="L793" s="329"/>
      <c r="M793" s="329"/>
      <c r="N793" s="329"/>
    </row>
    <row r="794" spans="1:14" ht="11.25" customHeight="1">
      <c r="A794" s="400"/>
      <c r="B794" s="389"/>
      <c r="C794" s="428"/>
      <c r="D794" s="400" t="s">
        <v>458</v>
      </c>
      <c r="E794" s="131">
        <f>SUM(E799+E804+E809+E814+E819)</f>
        <v>56368</v>
      </c>
      <c r="F794" s="132">
        <v>1</v>
      </c>
      <c r="G794" s="625">
        <f>SUM(G799:G823)</f>
        <v>1.74</v>
      </c>
      <c r="H794" s="625">
        <f aca="true" t="shared" si="4" ref="H794:M794">SUM(H799:H823)</f>
        <v>3163.83</v>
      </c>
      <c r="I794" s="568"/>
      <c r="J794" s="568"/>
      <c r="K794" s="568"/>
      <c r="L794" s="568">
        <f t="shared" si="4"/>
        <v>3.5699999999999994</v>
      </c>
      <c r="M794" s="568">
        <f t="shared" si="4"/>
        <v>3.91</v>
      </c>
      <c r="N794" s="568"/>
    </row>
    <row r="795" spans="1:14" ht="10.5" customHeight="1">
      <c r="A795" s="400"/>
      <c r="B795" s="389"/>
      <c r="C795" s="428"/>
      <c r="D795" s="400"/>
      <c r="E795" s="131">
        <f>SUM(E800+E805+E810+E815+E820)</f>
        <v>5427.3</v>
      </c>
      <c r="F795" s="132">
        <v>2</v>
      </c>
      <c r="G795" s="625"/>
      <c r="H795" s="625"/>
      <c r="I795" s="568"/>
      <c r="J795" s="568"/>
      <c r="K795" s="568"/>
      <c r="L795" s="568"/>
      <c r="M795" s="568"/>
      <c r="N795" s="568"/>
    </row>
    <row r="796" spans="1:14" ht="10.5" customHeight="1">
      <c r="A796" s="400"/>
      <c r="B796" s="389"/>
      <c r="C796" s="428"/>
      <c r="D796" s="400"/>
      <c r="E796" s="131">
        <f>SUM(E801+E806+E811+E816+E821)</f>
        <v>80</v>
      </c>
      <c r="F796" s="132" t="s">
        <v>258</v>
      </c>
      <c r="G796" s="625"/>
      <c r="H796" s="625"/>
      <c r="I796" s="568"/>
      <c r="J796" s="568"/>
      <c r="K796" s="568"/>
      <c r="L796" s="568"/>
      <c r="M796" s="568"/>
      <c r="N796" s="568"/>
    </row>
    <row r="797" spans="1:14" ht="10.5" customHeight="1">
      <c r="A797" s="400"/>
      <c r="B797" s="389"/>
      <c r="C797" s="428"/>
      <c r="D797" s="400"/>
      <c r="E797" s="131">
        <f>SUM(E802+E807+E812+E817+E822)</f>
        <v>100</v>
      </c>
      <c r="F797" s="132">
        <v>4</v>
      </c>
      <c r="G797" s="625"/>
      <c r="H797" s="625"/>
      <c r="I797" s="568"/>
      <c r="J797" s="568"/>
      <c r="K797" s="568"/>
      <c r="L797" s="568"/>
      <c r="M797" s="568"/>
      <c r="N797" s="568"/>
    </row>
    <row r="798" spans="1:14" ht="10.5" customHeight="1">
      <c r="A798" s="400"/>
      <c r="B798" s="389"/>
      <c r="C798" s="428"/>
      <c r="D798" s="400"/>
      <c r="E798" s="116">
        <f>SUM(E794+E795+E797)</f>
        <v>61895.3</v>
      </c>
      <c r="F798" s="133">
        <v>5</v>
      </c>
      <c r="G798" s="625"/>
      <c r="H798" s="625"/>
      <c r="I798" s="568"/>
      <c r="J798" s="568"/>
      <c r="K798" s="568"/>
      <c r="L798" s="568"/>
      <c r="M798" s="568"/>
      <c r="N798" s="568"/>
    </row>
    <row r="799" spans="1:14" ht="10.5" customHeight="1">
      <c r="A799" s="400"/>
      <c r="B799" s="389"/>
      <c r="C799" s="428"/>
      <c r="D799" s="400">
        <v>2011</v>
      </c>
      <c r="E799" s="116">
        <f>SUM(E752+E769+E746)</f>
        <v>13849</v>
      </c>
      <c r="F799" s="133">
        <v>1</v>
      </c>
      <c r="G799" s="625">
        <f>SUM(G742+G769+G746)</f>
        <v>0.8420000000000001</v>
      </c>
      <c r="H799" s="625">
        <f>SUM(H742+H769+H746)</f>
        <v>792.55</v>
      </c>
      <c r="I799" s="568"/>
      <c r="J799" s="568"/>
      <c r="K799" s="568"/>
      <c r="L799" s="568">
        <f>SUM(L742+L769+L746)</f>
        <v>2.262</v>
      </c>
      <c r="M799" s="568">
        <f>SUM(M742+M769)</f>
        <v>0.254</v>
      </c>
      <c r="N799" s="568"/>
    </row>
    <row r="800" spans="1:14" ht="10.5" customHeight="1">
      <c r="A800" s="400"/>
      <c r="B800" s="389"/>
      <c r="C800" s="428"/>
      <c r="D800" s="400"/>
      <c r="E800" s="116">
        <f>SUM(E753+E770+E747)</f>
        <v>1527.46</v>
      </c>
      <c r="F800" s="133">
        <v>2</v>
      </c>
      <c r="G800" s="625"/>
      <c r="H800" s="625"/>
      <c r="I800" s="568"/>
      <c r="J800" s="568"/>
      <c r="K800" s="568"/>
      <c r="L800" s="568"/>
      <c r="M800" s="568"/>
      <c r="N800" s="568"/>
    </row>
    <row r="801" spans="1:14" ht="10.5" customHeight="1">
      <c r="A801" s="400"/>
      <c r="B801" s="389"/>
      <c r="C801" s="428"/>
      <c r="D801" s="400"/>
      <c r="E801" s="116">
        <f>SUM(E771)</f>
        <v>16</v>
      </c>
      <c r="F801" s="133" t="s">
        <v>258</v>
      </c>
      <c r="G801" s="625"/>
      <c r="H801" s="625"/>
      <c r="I801" s="568"/>
      <c r="J801" s="568"/>
      <c r="K801" s="568"/>
      <c r="L801" s="568"/>
      <c r="M801" s="568"/>
      <c r="N801" s="568"/>
    </row>
    <row r="802" spans="1:14" ht="9.75" customHeight="1">
      <c r="A802" s="400"/>
      <c r="B802" s="389"/>
      <c r="C802" s="428"/>
      <c r="D802" s="400"/>
      <c r="E802" s="116">
        <f>SUM(E772)</f>
        <v>20</v>
      </c>
      <c r="F802" s="133">
        <v>4</v>
      </c>
      <c r="G802" s="625"/>
      <c r="H802" s="625"/>
      <c r="I802" s="568"/>
      <c r="J802" s="568"/>
      <c r="K802" s="568"/>
      <c r="L802" s="568"/>
      <c r="M802" s="568"/>
      <c r="N802" s="568"/>
    </row>
    <row r="803" spans="1:14" ht="10.5" customHeight="1">
      <c r="A803" s="400"/>
      <c r="B803" s="389"/>
      <c r="C803" s="428"/>
      <c r="D803" s="400"/>
      <c r="E803" s="116">
        <f>SUM(E799+E800+E802)</f>
        <v>15396.46</v>
      </c>
      <c r="F803" s="133">
        <v>5</v>
      </c>
      <c r="G803" s="625"/>
      <c r="H803" s="625"/>
      <c r="I803" s="568"/>
      <c r="J803" s="568"/>
      <c r="K803" s="568"/>
      <c r="L803" s="568"/>
      <c r="M803" s="568"/>
      <c r="N803" s="568"/>
    </row>
    <row r="804" spans="1:14" ht="10.5" customHeight="1">
      <c r="A804" s="400"/>
      <c r="B804" s="389"/>
      <c r="C804" s="428"/>
      <c r="D804" s="400">
        <v>2012</v>
      </c>
      <c r="E804" s="116">
        <f>SUM(E755+E774)</f>
        <v>13230</v>
      </c>
      <c r="F804" s="133">
        <v>1</v>
      </c>
      <c r="G804" s="625">
        <f>SUM(G743+G774)</f>
        <v>0.17200000000000001</v>
      </c>
      <c r="H804" s="625">
        <f>SUM(H743+H774)</f>
        <v>353.65</v>
      </c>
      <c r="I804" s="568"/>
      <c r="J804" s="568"/>
      <c r="K804" s="568"/>
      <c r="L804" s="568">
        <f>SUM(L743+L774)</f>
        <v>0.352</v>
      </c>
      <c r="M804" s="568">
        <f>SUM(M743+M774)</f>
        <v>0.304</v>
      </c>
      <c r="N804" s="568"/>
    </row>
    <row r="805" spans="1:14" ht="10.5" customHeight="1">
      <c r="A805" s="400"/>
      <c r="B805" s="389"/>
      <c r="C805" s="428"/>
      <c r="D805" s="400"/>
      <c r="E805" s="116">
        <f>SUM(E756+E775)</f>
        <v>1221.46</v>
      </c>
      <c r="F805" s="133">
        <v>2</v>
      </c>
      <c r="G805" s="625"/>
      <c r="H805" s="625"/>
      <c r="I805" s="568"/>
      <c r="J805" s="568"/>
      <c r="K805" s="568"/>
      <c r="L805" s="568"/>
      <c r="M805" s="568"/>
      <c r="N805" s="568"/>
    </row>
    <row r="806" spans="1:14" ht="10.5" customHeight="1">
      <c r="A806" s="400"/>
      <c r="B806" s="389"/>
      <c r="C806" s="428"/>
      <c r="D806" s="400"/>
      <c r="E806" s="116">
        <f>SUM(E776)</f>
        <v>16</v>
      </c>
      <c r="F806" s="133" t="s">
        <v>258</v>
      </c>
      <c r="G806" s="625"/>
      <c r="H806" s="625"/>
      <c r="I806" s="568"/>
      <c r="J806" s="568"/>
      <c r="K806" s="568"/>
      <c r="L806" s="568"/>
      <c r="M806" s="568"/>
      <c r="N806" s="568"/>
    </row>
    <row r="807" spans="1:14" ht="10.5" customHeight="1">
      <c r="A807" s="400"/>
      <c r="B807" s="389"/>
      <c r="C807" s="428"/>
      <c r="D807" s="400"/>
      <c r="E807" s="116">
        <f>SUM(E777)</f>
        <v>20</v>
      </c>
      <c r="F807" s="133">
        <v>4</v>
      </c>
      <c r="G807" s="625"/>
      <c r="H807" s="625"/>
      <c r="I807" s="568"/>
      <c r="J807" s="568"/>
      <c r="K807" s="568"/>
      <c r="L807" s="568"/>
      <c r="M807" s="568"/>
      <c r="N807" s="568"/>
    </row>
    <row r="808" spans="1:14" ht="10.5" customHeight="1">
      <c r="A808" s="400"/>
      <c r="B808" s="389"/>
      <c r="C808" s="428"/>
      <c r="D808" s="400"/>
      <c r="E808" s="116">
        <f>SUM(E804+E805+E807)</f>
        <v>14471.46</v>
      </c>
      <c r="F808" s="133">
        <v>5</v>
      </c>
      <c r="G808" s="625"/>
      <c r="H808" s="625"/>
      <c r="I808" s="568"/>
      <c r="J808" s="568"/>
      <c r="K808" s="568"/>
      <c r="L808" s="568"/>
      <c r="M808" s="568"/>
      <c r="N808" s="568"/>
    </row>
    <row r="809" spans="1:14" ht="9.75" customHeight="1">
      <c r="A809" s="400"/>
      <c r="B809" s="389"/>
      <c r="C809" s="428"/>
      <c r="D809" s="400">
        <v>2013</v>
      </c>
      <c r="E809" s="116">
        <f>SUM(E758+E779)</f>
        <v>12973</v>
      </c>
      <c r="F809" s="133">
        <v>1</v>
      </c>
      <c r="G809" s="625">
        <f>SUM(G744+G779)</f>
        <v>0.17200000000000001</v>
      </c>
      <c r="H809" s="625">
        <f>SUM(H744+H779)</f>
        <v>353.65</v>
      </c>
      <c r="I809" s="568"/>
      <c r="J809" s="568"/>
      <c r="K809" s="568"/>
      <c r="L809" s="568">
        <f>SUM(L744+L779)</f>
        <v>0.352</v>
      </c>
      <c r="M809" s="568">
        <f>SUM(M744+M779)</f>
        <v>0.304</v>
      </c>
      <c r="N809" s="568"/>
    </row>
    <row r="810" spans="1:14" ht="10.5" customHeight="1">
      <c r="A810" s="400"/>
      <c r="B810" s="389"/>
      <c r="C810" s="428"/>
      <c r="D810" s="400"/>
      <c r="E810" s="116">
        <f>SUM(E759+E780)</f>
        <v>1103.46</v>
      </c>
      <c r="F810" s="133">
        <v>2</v>
      </c>
      <c r="G810" s="625"/>
      <c r="H810" s="625"/>
      <c r="I810" s="568"/>
      <c r="J810" s="568"/>
      <c r="K810" s="568"/>
      <c r="L810" s="568"/>
      <c r="M810" s="568"/>
      <c r="N810" s="568"/>
    </row>
    <row r="811" spans="1:14" ht="10.5" customHeight="1">
      <c r="A811" s="400"/>
      <c r="B811" s="389"/>
      <c r="C811" s="428"/>
      <c r="D811" s="400"/>
      <c r="E811" s="116">
        <f>SUM(E781)</f>
        <v>16</v>
      </c>
      <c r="F811" s="133" t="s">
        <v>258</v>
      </c>
      <c r="G811" s="625"/>
      <c r="H811" s="625"/>
      <c r="I811" s="568"/>
      <c r="J811" s="568"/>
      <c r="K811" s="568"/>
      <c r="L811" s="568"/>
      <c r="M811" s="568"/>
      <c r="N811" s="568"/>
    </row>
    <row r="812" spans="1:14" ht="10.5" customHeight="1">
      <c r="A812" s="400"/>
      <c r="B812" s="389"/>
      <c r="C812" s="428"/>
      <c r="D812" s="400"/>
      <c r="E812" s="116">
        <f>SUM(E782)</f>
        <v>20</v>
      </c>
      <c r="F812" s="133">
        <v>4</v>
      </c>
      <c r="G812" s="625"/>
      <c r="H812" s="625"/>
      <c r="I812" s="568"/>
      <c r="J812" s="568"/>
      <c r="K812" s="568"/>
      <c r="L812" s="568"/>
      <c r="M812" s="568"/>
      <c r="N812" s="568"/>
    </row>
    <row r="813" spans="1:14" ht="10.5" customHeight="1">
      <c r="A813" s="400"/>
      <c r="B813" s="389"/>
      <c r="C813" s="428"/>
      <c r="D813" s="400"/>
      <c r="E813" s="116">
        <f>SUM(E809+E810+E812)</f>
        <v>14096.46</v>
      </c>
      <c r="F813" s="133">
        <v>5</v>
      </c>
      <c r="G813" s="625"/>
      <c r="H813" s="625"/>
      <c r="I813" s="568"/>
      <c r="J813" s="568"/>
      <c r="K813" s="568"/>
      <c r="L813" s="568"/>
      <c r="M813" s="568"/>
      <c r="N813" s="568"/>
    </row>
    <row r="814" spans="1:14" ht="10.5" customHeight="1">
      <c r="A814" s="400"/>
      <c r="B814" s="364" t="s">
        <v>238</v>
      </c>
      <c r="C814" s="428"/>
      <c r="D814" s="400">
        <v>2014</v>
      </c>
      <c r="E814" s="116">
        <f>SUM(E761+E784)</f>
        <v>14180</v>
      </c>
      <c r="F814" s="133">
        <v>1</v>
      </c>
      <c r="G814" s="625">
        <f>SUM(G745+G784)</f>
        <v>0.302</v>
      </c>
      <c r="H814" s="625">
        <f>SUM(H745+H784)</f>
        <v>854.2499999999999</v>
      </c>
      <c r="I814" s="568"/>
      <c r="J814" s="568"/>
      <c r="K814" s="568"/>
      <c r="L814" s="568">
        <f>SUM(L745+L784)</f>
        <v>0.352</v>
      </c>
      <c r="M814" s="568">
        <f>SUM(M745+M784)</f>
        <v>1.554</v>
      </c>
      <c r="N814" s="568"/>
    </row>
    <row r="815" spans="1:14" ht="10.5" customHeight="1">
      <c r="A815" s="400"/>
      <c r="B815" s="364"/>
      <c r="C815" s="428"/>
      <c r="D815" s="400"/>
      <c r="E815" s="116">
        <f>SUM(E762+E785)</f>
        <v>1134.46</v>
      </c>
      <c r="F815" s="133">
        <v>2</v>
      </c>
      <c r="G815" s="625"/>
      <c r="H815" s="625"/>
      <c r="I815" s="568"/>
      <c r="J815" s="568"/>
      <c r="K815" s="568"/>
      <c r="L815" s="568"/>
      <c r="M815" s="568"/>
      <c r="N815" s="568"/>
    </row>
    <row r="816" spans="1:14" ht="10.5" customHeight="1">
      <c r="A816" s="400"/>
      <c r="B816" s="364"/>
      <c r="C816" s="428"/>
      <c r="D816" s="400"/>
      <c r="E816" s="116">
        <f>SUM(E786)</f>
        <v>16</v>
      </c>
      <c r="F816" s="133" t="s">
        <v>258</v>
      </c>
      <c r="G816" s="625"/>
      <c r="H816" s="625"/>
      <c r="I816" s="568"/>
      <c r="J816" s="568"/>
      <c r="K816" s="568"/>
      <c r="L816" s="568"/>
      <c r="M816" s="568"/>
      <c r="N816" s="568"/>
    </row>
    <row r="817" spans="1:14" ht="10.5" customHeight="1">
      <c r="A817" s="400"/>
      <c r="B817" s="364"/>
      <c r="C817" s="428"/>
      <c r="D817" s="400"/>
      <c r="E817" s="116">
        <f>SUM(E787)</f>
        <v>20</v>
      </c>
      <c r="F817" s="133">
        <v>4</v>
      </c>
      <c r="G817" s="625"/>
      <c r="H817" s="625"/>
      <c r="I817" s="568"/>
      <c r="J817" s="568"/>
      <c r="K817" s="568"/>
      <c r="L817" s="568"/>
      <c r="M817" s="568"/>
      <c r="N817" s="568"/>
    </row>
    <row r="818" spans="1:14" ht="10.5" customHeight="1">
      <c r="A818" s="400"/>
      <c r="B818" s="364"/>
      <c r="C818" s="428"/>
      <c r="D818" s="400"/>
      <c r="E818" s="116">
        <f>SUM(E814+E815+E817)</f>
        <v>15334.46</v>
      </c>
      <c r="F818" s="133">
        <v>5</v>
      </c>
      <c r="G818" s="625"/>
      <c r="H818" s="625"/>
      <c r="I818" s="568"/>
      <c r="J818" s="568"/>
      <c r="K818" s="568"/>
      <c r="L818" s="568"/>
      <c r="M818" s="568"/>
      <c r="N818" s="568"/>
    </row>
    <row r="819" spans="1:14" ht="10.5" customHeight="1">
      <c r="A819" s="400"/>
      <c r="B819" s="364"/>
      <c r="C819" s="428"/>
      <c r="D819" s="400">
        <v>2015</v>
      </c>
      <c r="E819" s="116">
        <f>SUM(E789)</f>
        <v>2136</v>
      </c>
      <c r="F819" s="133">
        <v>1</v>
      </c>
      <c r="G819" s="625">
        <f>G789</f>
        <v>0.252</v>
      </c>
      <c r="H819" s="625">
        <f aca="true" t="shared" si="5" ref="H819:M819">SUM(H789)</f>
        <v>809.73</v>
      </c>
      <c r="I819" s="568"/>
      <c r="J819" s="568"/>
      <c r="K819" s="568"/>
      <c r="L819" s="568">
        <f t="shared" si="5"/>
        <v>0.252</v>
      </c>
      <c r="M819" s="568">
        <f t="shared" si="5"/>
        <v>1.494</v>
      </c>
      <c r="N819" s="568"/>
    </row>
    <row r="820" spans="1:14" ht="10.5" customHeight="1">
      <c r="A820" s="400"/>
      <c r="B820" s="364"/>
      <c r="C820" s="428"/>
      <c r="D820" s="400"/>
      <c r="E820" s="116">
        <f>SUM(E790)</f>
        <v>440.46</v>
      </c>
      <c r="F820" s="133">
        <v>2</v>
      </c>
      <c r="G820" s="625"/>
      <c r="H820" s="625"/>
      <c r="I820" s="568"/>
      <c r="J820" s="568"/>
      <c r="K820" s="568"/>
      <c r="L820" s="568"/>
      <c r="M820" s="568"/>
      <c r="N820" s="568"/>
    </row>
    <row r="821" spans="1:14" ht="10.5" customHeight="1">
      <c r="A821" s="400"/>
      <c r="B821" s="364"/>
      <c r="C821" s="428"/>
      <c r="D821" s="400"/>
      <c r="E821" s="116">
        <f>SUM(E791)</f>
        <v>16</v>
      </c>
      <c r="F821" s="133" t="s">
        <v>258</v>
      </c>
      <c r="G821" s="625"/>
      <c r="H821" s="625"/>
      <c r="I821" s="568"/>
      <c r="J821" s="568"/>
      <c r="K821" s="568"/>
      <c r="L821" s="568"/>
      <c r="M821" s="568"/>
      <c r="N821" s="568"/>
    </row>
    <row r="822" spans="1:14" ht="11.25" customHeight="1">
      <c r="A822" s="400"/>
      <c r="B822" s="364"/>
      <c r="C822" s="428"/>
      <c r="D822" s="400"/>
      <c r="E822" s="116">
        <f>SUM(E792)</f>
        <v>20</v>
      </c>
      <c r="F822" s="133">
        <v>4</v>
      </c>
      <c r="G822" s="625"/>
      <c r="H822" s="625"/>
      <c r="I822" s="568"/>
      <c r="J822" s="568"/>
      <c r="K822" s="568"/>
      <c r="L822" s="568"/>
      <c r="M822" s="568"/>
      <c r="N822" s="568"/>
    </row>
    <row r="823" spans="1:14" ht="10.5" customHeight="1">
      <c r="A823" s="400"/>
      <c r="B823" s="364"/>
      <c r="C823" s="428"/>
      <c r="D823" s="400"/>
      <c r="E823" s="116">
        <f>SUM(E819+E820+E822)</f>
        <v>2596.46</v>
      </c>
      <c r="F823" s="133">
        <v>5</v>
      </c>
      <c r="G823" s="625"/>
      <c r="H823" s="625"/>
      <c r="I823" s="568"/>
      <c r="J823" s="568"/>
      <c r="K823" s="568"/>
      <c r="L823" s="568"/>
      <c r="M823" s="568"/>
      <c r="N823" s="568"/>
    </row>
    <row r="824" spans="1:14" ht="12.75" customHeight="1">
      <c r="A824" s="630" t="s">
        <v>225</v>
      </c>
      <c r="B824" s="303"/>
      <c r="C824" s="631"/>
      <c r="D824" s="303"/>
      <c r="E824" s="303"/>
      <c r="F824" s="303"/>
      <c r="G824" s="303"/>
      <c r="H824" s="303"/>
      <c r="I824" s="303"/>
      <c r="J824" s="303"/>
      <c r="K824" s="303"/>
      <c r="L824" s="303"/>
      <c r="M824" s="303"/>
      <c r="N824" s="303"/>
    </row>
    <row r="825" spans="1:14" ht="12.75" customHeight="1">
      <c r="A825" s="395">
        <v>117</v>
      </c>
      <c r="B825" s="569" t="s">
        <v>351</v>
      </c>
      <c r="C825" s="407" t="s">
        <v>226</v>
      </c>
      <c r="D825" s="320" t="s">
        <v>120</v>
      </c>
      <c r="E825" s="135">
        <f>E831+E837+E844+E850+E856</f>
        <v>481294.7</v>
      </c>
      <c r="F825" s="17">
        <v>1</v>
      </c>
      <c r="G825" s="480">
        <f>G831+G837+G844+G850+G856</f>
        <v>39.43</v>
      </c>
      <c r="H825" s="334">
        <f>H831+H837+H844+H850+H856</f>
        <v>58445.346999999994</v>
      </c>
      <c r="I825" s="329">
        <f>I831+I837+I844+I850+I856</f>
        <v>29.146</v>
      </c>
      <c r="J825" s="329">
        <f>J844</f>
        <v>1.11</v>
      </c>
      <c r="K825" s="329">
        <f>K844</f>
        <v>4.2</v>
      </c>
      <c r="L825" s="329">
        <f>L850+L856</f>
        <v>1.624</v>
      </c>
      <c r="M825" s="329">
        <f>M850+M856</f>
        <v>4.46</v>
      </c>
      <c r="N825" s="567"/>
    </row>
    <row r="826" spans="1:14" ht="12.75" customHeight="1">
      <c r="A826" s="282"/>
      <c r="B826" s="569"/>
      <c r="C826" s="282"/>
      <c r="D826" s="641"/>
      <c r="E826" s="6">
        <f>E832+E845+E851+E857</f>
        <v>69979.09999999999</v>
      </c>
      <c r="F826" s="4">
        <v>2</v>
      </c>
      <c r="G826" s="345"/>
      <c r="H826" s="386"/>
      <c r="I826" s="365"/>
      <c r="J826" s="365"/>
      <c r="K826" s="365"/>
      <c r="L826" s="365"/>
      <c r="M826" s="365"/>
      <c r="N826" s="365"/>
    </row>
    <row r="827" spans="1:14" ht="12" customHeight="1">
      <c r="A827" s="282"/>
      <c r="B827" s="569"/>
      <c r="C827" s="282"/>
      <c r="D827" s="641"/>
      <c r="E827" s="6">
        <v>43722.2</v>
      </c>
      <c r="F827" s="4" t="s">
        <v>258</v>
      </c>
      <c r="G827" s="345"/>
      <c r="H827" s="386"/>
      <c r="I827" s="365"/>
      <c r="J827" s="365"/>
      <c r="K827" s="365"/>
      <c r="L827" s="365"/>
      <c r="M827" s="365"/>
      <c r="N827" s="365"/>
    </row>
    <row r="828" spans="1:14" ht="12.75" customHeight="1">
      <c r="A828" s="282"/>
      <c r="B828" s="569"/>
      <c r="C828" s="282"/>
      <c r="D828" s="641"/>
      <c r="E828" s="6">
        <f>E834+E847+E853+E859</f>
        <v>25131.7</v>
      </c>
      <c r="F828" s="4">
        <v>3</v>
      </c>
      <c r="G828" s="345"/>
      <c r="H828" s="386"/>
      <c r="I828" s="365"/>
      <c r="J828" s="365"/>
      <c r="K828" s="365"/>
      <c r="L828" s="365"/>
      <c r="M828" s="365"/>
      <c r="N828" s="365"/>
    </row>
    <row r="829" spans="1:14" ht="12.75" customHeight="1">
      <c r="A829" s="282"/>
      <c r="B829" s="569"/>
      <c r="C829" s="282"/>
      <c r="D829" s="641"/>
      <c r="E829" s="6">
        <f>E835+E848+E854+E860</f>
        <v>48720</v>
      </c>
      <c r="F829" s="4">
        <v>4</v>
      </c>
      <c r="G829" s="345"/>
      <c r="H829" s="386"/>
      <c r="I829" s="365"/>
      <c r="J829" s="365"/>
      <c r="K829" s="365"/>
      <c r="L829" s="365"/>
      <c r="M829" s="365"/>
      <c r="N829" s="365"/>
    </row>
    <row r="830" spans="1:14" ht="12.75" customHeight="1">
      <c r="A830" s="282"/>
      <c r="B830" s="569"/>
      <c r="C830" s="282"/>
      <c r="D830" s="641"/>
      <c r="E830" s="6">
        <f>E825+E826+E828+E829</f>
        <v>625125.5</v>
      </c>
      <c r="F830" s="4">
        <v>5</v>
      </c>
      <c r="G830" s="345"/>
      <c r="H830" s="387"/>
      <c r="I830" s="365"/>
      <c r="J830" s="365"/>
      <c r="K830" s="365"/>
      <c r="L830" s="365"/>
      <c r="M830" s="365"/>
      <c r="N830" s="365"/>
    </row>
    <row r="831" spans="1:14" ht="12" customHeight="1">
      <c r="A831" s="137"/>
      <c r="B831" s="138">
        <v>64</v>
      </c>
      <c r="C831" s="139"/>
      <c r="D831" s="318">
        <v>2011</v>
      </c>
      <c r="E831" s="6">
        <v>96392.5</v>
      </c>
      <c r="F831" s="4">
        <v>1</v>
      </c>
      <c r="G831" s="337">
        <v>4.78</v>
      </c>
      <c r="H831" s="337">
        <f>7564.28</f>
        <v>7564.28</v>
      </c>
      <c r="I831" s="329">
        <f>4.42</f>
        <v>4.42</v>
      </c>
      <c r="J831" s="329"/>
      <c r="K831" s="564"/>
      <c r="L831" s="564"/>
      <c r="M831" s="564"/>
      <c r="N831" s="564"/>
    </row>
    <row r="832" spans="1:14" ht="12" customHeight="1">
      <c r="A832" s="137"/>
      <c r="B832" s="140"/>
      <c r="C832" s="139"/>
      <c r="D832" s="321"/>
      <c r="E832" s="6">
        <v>17487.8</v>
      </c>
      <c r="F832" s="4">
        <v>2</v>
      </c>
      <c r="G832" s="345"/>
      <c r="H832" s="345"/>
      <c r="I832" s="329"/>
      <c r="J832" s="329"/>
      <c r="K832" s="345"/>
      <c r="L832" s="345"/>
      <c r="M832" s="345"/>
      <c r="N832" s="345"/>
    </row>
    <row r="833" spans="1:14" ht="12.75" customHeight="1">
      <c r="A833" s="137"/>
      <c r="B833" s="140"/>
      <c r="C833" s="139"/>
      <c r="D833" s="321"/>
      <c r="E833" s="6">
        <v>8743.9</v>
      </c>
      <c r="F833" s="4" t="s">
        <v>258</v>
      </c>
      <c r="G833" s="345"/>
      <c r="H833" s="345"/>
      <c r="I833" s="329"/>
      <c r="J833" s="329"/>
      <c r="K833" s="345"/>
      <c r="L833" s="345"/>
      <c r="M833" s="345"/>
      <c r="N833" s="345"/>
    </row>
    <row r="834" spans="1:14" ht="10.5" customHeight="1">
      <c r="A834" s="137"/>
      <c r="B834" s="140"/>
      <c r="C834" s="139"/>
      <c r="D834" s="321"/>
      <c r="E834" s="6">
        <v>5866.7</v>
      </c>
      <c r="F834" s="4">
        <v>3</v>
      </c>
      <c r="G834" s="345"/>
      <c r="H834" s="345"/>
      <c r="I834" s="329"/>
      <c r="J834" s="329"/>
      <c r="K834" s="345"/>
      <c r="L834" s="345"/>
      <c r="M834" s="345"/>
      <c r="N834" s="345"/>
    </row>
    <row r="835" spans="1:14" ht="10.5" customHeight="1">
      <c r="A835" s="137"/>
      <c r="B835" s="140"/>
      <c r="C835" s="139"/>
      <c r="D835" s="321"/>
      <c r="E835" s="6">
        <v>12180</v>
      </c>
      <c r="F835" s="4">
        <v>4</v>
      </c>
      <c r="G835" s="345"/>
      <c r="H835" s="345"/>
      <c r="I835" s="329"/>
      <c r="J835" s="329"/>
      <c r="K835" s="345"/>
      <c r="L835" s="345"/>
      <c r="M835" s="345"/>
      <c r="N835" s="345"/>
    </row>
    <row r="836" spans="1:14" ht="12" customHeight="1">
      <c r="A836" s="137"/>
      <c r="B836" s="140"/>
      <c r="C836" s="139"/>
      <c r="D836" s="321"/>
      <c r="E836" s="6">
        <f>E831+E832+E834+E835</f>
        <v>131927</v>
      </c>
      <c r="F836" s="4">
        <v>5</v>
      </c>
      <c r="G836" s="345"/>
      <c r="H836" s="345"/>
      <c r="I836" s="329"/>
      <c r="J836" s="329"/>
      <c r="K836" s="345"/>
      <c r="L836" s="345"/>
      <c r="M836" s="345"/>
      <c r="N836" s="345"/>
    </row>
    <row r="837" spans="1:14" ht="11.25" customHeight="1">
      <c r="A837" s="137"/>
      <c r="B837" s="140">
        <v>67</v>
      </c>
      <c r="C837" s="139"/>
      <c r="D837" s="638">
        <v>2012</v>
      </c>
      <c r="E837" s="6">
        <v>96032.5</v>
      </c>
      <c r="F837" s="4">
        <v>1</v>
      </c>
      <c r="G837" s="337">
        <v>5.4</v>
      </c>
      <c r="H837" s="337">
        <v>7302.87</v>
      </c>
      <c r="I837" s="329">
        <v>4.655</v>
      </c>
      <c r="J837" s="561"/>
      <c r="K837" s="304"/>
      <c r="L837" s="304"/>
      <c r="M837" s="304"/>
      <c r="N837" s="304"/>
    </row>
    <row r="838" spans="1:14" ht="12.75" customHeight="1">
      <c r="A838" s="137"/>
      <c r="B838" s="141"/>
      <c r="C838" s="139"/>
      <c r="D838" s="642"/>
      <c r="E838" s="6">
        <v>17465.3</v>
      </c>
      <c r="F838" s="4">
        <v>2</v>
      </c>
      <c r="G838" s="345"/>
      <c r="H838" s="337"/>
      <c r="I838" s="329"/>
      <c r="J838" s="562"/>
      <c r="K838" s="305"/>
      <c r="L838" s="305"/>
      <c r="M838" s="305"/>
      <c r="N838" s="305"/>
    </row>
    <row r="839" spans="1:14" ht="12.75" customHeight="1">
      <c r="A839" s="137"/>
      <c r="B839" s="141"/>
      <c r="C839" s="139"/>
      <c r="D839" s="642"/>
      <c r="E839" s="6">
        <v>8732.65</v>
      </c>
      <c r="F839" s="4" t="s">
        <v>258</v>
      </c>
      <c r="G839" s="345"/>
      <c r="H839" s="337"/>
      <c r="I839" s="329"/>
      <c r="J839" s="562"/>
      <c r="K839" s="305"/>
      <c r="L839" s="305"/>
      <c r="M839" s="305"/>
      <c r="N839" s="305"/>
    </row>
    <row r="840" spans="1:14" ht="12.75" customHeight="1">
      <c r="A840" s="137"/>
      <c r="B840" s="141"/>
      <c r="C840" s="139"/>
      <c r="D840" s="642"/>
      <c r="E840" s="6">
        <v>5949.2</v>
      </c>
      <c r="F840" s="4">
        <v>3</v>
      </c>
      <c r="G840" s="345"/>
      <c r="H840" s="337"/>
      <c r="I840" s="329"/>
      <c r="J840" s="562"/>
      <c r="K840" s="305"/>
      <c r="L840" s="305"/>
      <c r="M840" s="305"/>
      <c r="N840" s="305"/>
    </row>
    <row r="841" spans="1:14" ht="12.75" customHeight="1">
      <c r="A841" s="137"/>
      <c r="B841" s="141"/>
      <c r="C841" s="139"/>
      <c r="D841" s="642"/>
      <c r="E841" s="6">
        <v>12180</v>
      </c>
      <c r="F841" s="4">
        <v>4</v>
      </c>
      <c r="G841" s="345"/>
      <c r="H841" s="337"/>
      <c r="I841" s="329"/>
      <c r="J841" s="562"/>
      <c r="K841" s="305"/>
      <c r="L841" s="305"/>
      <c r="M841" s="305"/>
      <c r="N841" s="305"/>
    </row>
    <row r="842" spans="1:14" ht="12.75" customHeight="1">
      <c r="A842" s="137"/>
      <c r="B842" s="141"/>
      <c r="C842" s="143"/>
      <c r="D842" s="642"/>
      <c r="E842" s="6">
        <f>E837+E838+E840+E841</f>
        <v>131627</v>
      </c>
      <c r="F842" s="4">
        <v>5</v>
      </c>
      <c r="G842" s="345"/>
      <c r="H842" s="337"/>
      <c r="I842" s="329"/>
      <c r="J842" s="563"/>
      <c r="K842" s="306"/>
      <c r="L842" s="306"/>
      <c r="M842" s="306"/>
      <c r="N842" s="306"/>
    </row>
    <row r="843" spans="1:14" ht="99.75" customHeight="1">
      <c r="A843" s="137"/>
      <c r="B843" s="144" t="s">
        <v>387</v>
      </c>
      <c r="C843" s="143"/>
      <c r="D843" s="413"/>
      <c r="E843" s="78">
        <v>15000</v>
      </c>
      <c r="F843" s="123">
        <v>1</v>
      </c>
      <c r="G843" s="78">
        <v>3.685</v>
      </c>
      <c r="H843" s="78">
        <v>10000</v>
      </c>
      <c r="I843" s="124">
        <v>2.401</v>
      </c>
      <c r="J843" s="124"/>
      <c r="K843" s="5"/>
      <c r="L843" s="5"/>
      <c r="M843" s="5"/>
      <c r="N843" s="5"/>
    </row>
    <row r="844" spans="1:14" ht="12.75" customHeight="1">
      <c r="A844" s="137"/>
      <c r="B844" s="145">
        <v>97</v>
      </c>
      <c r="C844" s="146"/>
      <c r="D844" s="318">
        <v>2013</v>
      </c>
      <c r="E844" s="6">
        <v>95980.3</v>
      </c>
      <c r="F844" s="4">
        <v>1</v>
      </c>
      <c r="G844" s="337">
        <v>10.91</v>
      </c>
      <c r="H844" s="337">
        <v>19067.137</v>
      </c>
      <c r="I844" s="329">
        <v>5.303</v>
      </c>
      <c r="J844" s="329">
        <v>1.11</v>
      </c>
      <c r="K844" s="329">
        <v>4.2</v>
      </c>
      <c r="L844" s="329"/>
      <c r="M844" s="329"/>
      <c r="N844" s="329"/>
    </row>
    <row r="845" spans="1:14" ht="12.75" customHeight="1">
      <c r="A845" s="137"/>
      <c r="B845" s="147"/>
      <c r="C845" s="139"/>
      <c r="D845" s="321"/>
      <c r="E845" s="6">
        <v>17415.1</v>
      </c>
      <c r="F845" s="4">
        <v>2</v>
      </c>
      <c r="G845" s="345"/>
      <c r="H845" s="337"/>
      <c r="I845" s="329"/>
      <c r="J845" s="329"/>
      <c r="K845" s="329"/>
      <c r="L845" s="329"/>
      <c r="M845" s="329"/>
      <c r="N845" s="329"/>
    </row>
    <row r="846" spans="1:14" ht="12.75" customHeight="1">
      <c r="A846" s="137"/>
      <c r="B846" s="147"/>
      <c r="C846" s="139"/>
      <c r="D846" s="321"/>
      <c r="E846" s="6">
        <v>8707.55</v>
      </c>
      <c r="F846" s="4" t="s">
        <v>258</v>
      </c>
      <c r="G846" s="345"/>
      <c r="H846" s="337"/>
      <c r="I846" s="329"/>
      <c r="J846" s="329"/>
      <c r="K846" s="329"/>
      <c r="L846" s="329"/>
      <c r="M846" s="329"/>
      <c r="N846" s="329"/>
    </row>
    <row r="847" spans="1:14" ht="12.75" customHeight="1">
      <c r="A847" s="137"/>
      <c r="B847" s="147"/>
      <c r="C847" s="139"/>
      <c r="D847" s="321"/>
      <c r="E847" s="6">
        <v>6466.6</v>
      </c>
      <c r="F847" s="4">
        <v>3</v>
      </c>
      <c r="G847" s="345"/>
      <c r="H847" s="337"/>
      <c r="I847" s="329"/>
      <c r="J847" s="329"/>
      <c r="K847" s="329"/>
      <c r="L847" s="329"/>
      <c r="M847" s="329"/>
      <c r="N847" s="329"/>
    </row>
    <row r="848" spans="1:14" ht="12.75" customHeight="1">
      <c r="A848" s="137"/>
      <c r="B848" s="147"/>
      <c r="C848" s="139"/>
      <c r="D848" s="321"/>
      <c r="E848" s="6">
        <v>12180</v>
      </c>
      <c r="F848" s="4">
        <v>4</v>
      </c>
      <c r="G848" s="345"/>
      <c r="H848" s="337"/>
      <c r="I848" s="329"/>
      <c r="J848" s="329"/>
      <c r="K848" s="329"/>
      <c r="L848" s="329"/>
      <c r="M848" s="329"/>
      <c r="N848" s="329"/>
    </row>
    <row r="849" spans="1:14" ht="12.75" customHeight="1">
      <c r="A849" s="137"/>
      <c r="B849" s="147"/>
      <c r="C849" s="139"/>
      <c r="D849" s="321"/>
      <c r="E849" s="6">
        <f>E844+E845+E847+E848</f>
        <v>132042</v>
      </c>
      <c r="F849" s="4">
        <v>5</v>
      </c>
      <c r="G849" s="345"/>
      <c r="H849" s="337"/>
      <c r="I849" s="329"/>
      <c r="J849" s="329"/>
      <c r="K849" s="329"/>
      <c r="L849" s="329"/>
      <c r="M849" s="329"/>
      <c r="N849" s="329"/>
    </row>
    <row r="850" spans="1:14" ht="12.75" customHeight="1">
      <c r="A850" s="137"/>
      <c r="B850" s="147">
        <v>75</v>
      </c>
      <c r="C850" s="139"/>
      <c r="D850" s="318">
        <v>2014</v>
      </c>
      <c r="E850" s="6">
        <v>96444.7</v>
      </c>
      <c r="F850" s="4">
        <v>1</v>
      </c>
      <c r="G850" s="337">
        <v>9.17</v>
      </c>
      <c r="H850" s="337">
        <v>12255.53</v>
      </c>
      <c r="I850" s="329">
        <v>7.384</v>
      </c>
      <c r="J850" s="329"/>
      <c r="K850" s="329"/>
      <c r="L850" s="329">
        <v>0.812</v>
      </c>
      <c r="M850" s="329">
        <v>2.23</v>
      </c>
      <c r="N850" s="329"/>
    </row>
    <row r="851" spans="1:14" ht="12.75" customHeight="1">
      <c r="A851" s="137"/>
      <c r="B851" s="147"/>
      <c r="C851" s="139"/>
      <c r="D851" s="321"/>
      <c r="E851" s="6">
        <v>17538.1</v>
      </c>
      <c r="F851" s="4">
        <v>2</v>
      </c>
      <c r="G851" s="365"/>
      <c r="H851" s="365"/>
      <c r="I851" s="329"/>
      <c r="J851" s="329"/>
      <c r="K851" s="365"/>
      <c r="L851" s="365"/>
      <c r="M851" s="365"/>
      <c r="N851" s="365"/>
    </row>
    <row r="852" spans="1:14" ht="12.75" customHeight="1">
      <c r="A852" s="137"/>
      <c r="B852" s="147"/>
      <c r="C852" s="139"/>
      <c r="D852" s="321"/>
      <c r="E852" s="6">
        <v>8769.05</v>
      </c>
      <c r="F852" s="4" t="s">
        <v>258</v>
      </c>
      <c r="G852" s="365"/>
      <c r="H852" s="365"/>
      <c r="I852" s="329"/>
      <c r="J852" s="329"/>
      <c r="K852" s="365"/>
      <c r="L852" s="365"/>
      <c r="M852" s="365"/>
      <c r="N852" s="365"/>
    </row>
    <row r="853" spans="1:14" ht="12.75" customHeight="1">
      <c r="A853" s="137"/>
      <c r="B853" s="147"/>
      <c r="C853" s="139"/>
      <c r="D853" s="321"/>
      <c r="E853" s="6">
        <v>6399.2</v>
      </c>
      <c r="F853" s="4">
        <v>3</v>
      </c>
      <c r="G853" s="365"/>
      <c r="H853" s="365"/>
      <c r="I853" s="329"/>
      <c r="J853" s="329"/>
      <c r="K853" s="365"/>
      <c r="L853" s="365"/>
      <c r="M853" s="365"/>
      <c r="N853" s="365"/>
    </row>
    <row r="854" spans="1:14" ht="12.75" customHeight="1">
      <c r="A854" s="137"/>
      <c r="B854" s="147"/>
      <c r="C854" s="139"/>
      <c r="D854" s="321"/>
      <c r="E854" s="6">
        <v>12180</v>
      </c>
      <c r="F854" s="4">
        <v>4</v>
      </c>
      <c r="G854" s="365"/>
      <c r="H854" s="365"/>
      <c r="I854" s="329"/>
      <c r="J854" s="329"/>
      <c r="K854" s="365"/>
      <c r="L854" s="365"/>
      <c r="M854" s="365"/>
      <c r="N854" s="365"/>
    </row>
    <row r="855" spans="1:14" ht="12.75" customHeight="1">
      <c r="A855" s="148"/>
      <c r="B855" s="149"/>
      <c r="C855" s="143"/>
      <c r="D855" s="321"/>
      <c r="E855" s="6">
        <f>E850+E851+E853+E854</f>
        <v>132562</v>
      </c>
      <c r="F855" s="4">
        <v>5</v>
      </c>
      <c r="G855" s="365"/>
      <c r="H855" s="365"/>
      <c r="I855" s="329"/>
      <c r="J855" s="329"/>
      <c r="K855" s="365"/>
      <c r="L855" s="365"/>
      <c r="M855" s="365"/>
      <c r="N855" s="365"/>
    </row>
    <row r="856" spans="1:14" ht="10.5" customHeight="1">
      <c r="A856" s="150"/>
      <c r="B856" s="18">
        <v>73</v>
      </c>
      <c r="C856" s="146"/>
      <c r="D856" s="436">
        <v>2015</v>
      </c>
      <c r="E856" s="6">
        <v>96444.7</v>
      </c>
      <c r="F856" s="4">
        <v>1</v>
      </c>
      <c r="G856" s="337">
        <v>9.17</v>
      </c>
      <c r="H856" s="337">
        <v>12255.53</v>
      </c>
      <c r="I856" s="329">
        <v>7.384</v>
      </c>
      <c r="J856" s="329"/>
      <c r="K856" s="329"/>
      <c r="L856" s="329">
        <v>0.812</v>
      </c>
      <c r="M856" s="329">
        <v>2.23</v>
      </c>
      <c r="N856" s="329"/>
    </row>
    <row r="857" spans="1:14" ht="10.5" customHeight="1">
      <c r="A857" s="137"/>
      <c r="B857" s="34"/>
      <c r="C857" s="139"/>
      <c r="D857" s="436"/>
      <c r="E857" s="6">
        <v>17538.1</v>
      </c>
      <c r="F857" s="4">
        <v>2</v>
      </c>
      <c r="G857" s="365"/>
      <c r="H857" s="365"/>
      <c r="I857" s="329"/>
      <c r="J857" s="329"/>
      <c r="K857" s="365"/>
      <c r="L857" s="365"/>
      <c r="M857" s="365"/>
      <c r="N857" s="365"/>
    </row>
    <row r="858" spans="1:14" ht="11.25" customHeight="1">
      <c r="A858" s="137"/>
      <c r="B858" s="34"/>
      <c r="C858" s="139"/>
      <c r="D858" s="436"/>
      <c r="E858" s="6">
        <v>8769.05</v>
      </c>
      <c r="F858" s="4" t="s">
        <v>258</v>
      </c>
      <c r="G858" s="365"/>
      <c r="H858" s="365"/>
      <c r="I858" s="329"/>
      <c r="J858" s="329"/>
      <c r="K858" s="365"/>
      <c r="L858" s="365"/>
      <c r="M858" s="365"/>
      <c r="N858" s="365"/>
    </row>
    <row r="859" spans="1:14" ht="10.5" customHeight="1">
      <c r="A859" s="137"/>
      <c r="B859" s="34"/>
      <c r="C859" s="139"/>
      <c r="D859" s="436"/>
      <c r="E859" s="6">
        <v>6399.2</v>
      </c>
      <c r="F859" s="4">
        <v>3</v>
      </c>
      <c r="G859" s="365"/>
      <c r="H859" s="365"/>
      <c r="I859" s="329"/>
      <c r="J859" s="329"/>
      <c r="K859" s="365"/>
      <c r="L859" s="365"/>
      <c r="M859" s="365"/>
      <c r="N859" s="365"/>
    </row>
    <row r="860" spans="1:14" ht="10.5" customHeight="1">
      <c r="A860" s="137"/>
      <c r="B860" s="34"/>
      <c r="C860" s="139"/>
      <c r="D860" s="436"/>
      <c r="E860" s="6">
        <v>12180</v>
      </c>
      <c r="F860" s="4">
        <v>4</v>
      </c>
      <c r="G860" s="365"/>
      <c r="H860" s="365"/>
      <c r="I860" s="329"/>
      <c r="J860" s="329"/>
      <c r="K860" s="365"/>
      <c r="L860" s="365"/>
      <c r="M860" s="365"/>
      <c r="N860" s="365"/>
    </row>
    <row r="861" spans="1:14" ht="10.5" customHeight="1">
      <c r="A861" s="148"/>
      <c r="B861" s="37"/>
      <c r="C861" s="143"/>
      <c r="D861" s="436"/>
      <c r="E861" s="6">
        <f>E856+E857+E859+E860</f>
        <v>132562</v>
      </c>
      <c r="F861" s="4">
        <v>5</v>
      </c>
      <c r="G861" s="365"/>
      <c r="H861" s="365"/>
      <c r="I861" s="329"/>
      <c r="J861" s="329"/>
      <c r="K861" s="365"/>
      <c r="L861" s="365"/>
      <c r="M861" s="365"/>
      <c r="N861" s="365"/>
    </row>
    <row r="862" spans="1:14" ht="11.25" customHeight="1">
      <c r="A862" s="401">
        <v>118</v>
      </c>
      <c r="B862" s="569" t="s">
        <v>65</v>
      </c>
      <c r="C862" s="407" t="s">
        <v>12</v>
      </c>
      <c r="D862" s="320" t="s">
        <v>120</v>
      </c>
      <c r="E862" s="153">
        <f>E868+E873</f>
        <v>28210</v>
      </c>
      <c r="F862" s="125">
        <v>1</v>
      </c>
      <c r="G862" s="337">
        <f>SUM(G868:G880)</f>
        <v>10.60018</v>
      </c>
      <c r="H862" s="337">
        <f>H868+H873+H878+H879+H880</f>
        <v>15914.310000000001</v>
      </c>
      <c r="I862" s="329">
        <f>I868+I873+I878+I879+I880</f>
        <v>8.847999999999999</v>
      </c>
      <c r="J862" s="329"/>
      <c r="K862" s="329"/>
      <c r="L862" s="329">
        <f>L868+L873+L878+L879+L880</f>
        <v>1.209</v>
      </c>
      <c r="M862" s="492"/>
      <c r="N862" s="329"/>
    </row>
    <row r="863" spans="1:14" ht="10.5" customHeight="1">
      <c r="A863" s="394"/>
      <c r="B863" s="569"/>
      <c r="C863" s="408"/>
      <c r="D863" s="571"/>
      <c r="E863" s="153">
        <f>E869+E874</f>
        <v>17080</v>
      </c>
      <c r="F863" s="125">
        <v>2</v>
      </c>
      <c r="G863" s="438"/>
      <c r="H863" s="365"/>
      <c r="I863" s="329"/>
      <c r="J863" s="329"/>
      <c r="K863" s="329"/>
      <c r="L863" s="329"/>
      <c r="M863" s="492"/>
      <c r="N863" s="329"/>
    </row>
    <row r="864" spans="1:14" ht="10.5" customHeight="1">
      <c r="A864" s="394"/>
      <c r="B864" s="569"/>
      <c r="C864" s="408"/>
      <c r="D864" s="571"/>
      <c r="E864" s="153">
        <f>E870+E875</f>
        <v>8540</v>
      </c>
      <c r="F864" s="125" t="s">
        <v>258</v>
      </c>
      <c r="G864" s="438"/>
      <c r="H864" s="365"/>
      <c r="I864" s="329"/>
      <c r="J864" s="329"/>
      <c r="K864" s="329"/>
      <c r="L864" s="329"/>
      <c r="M864" s="492"/>
      <c r="N864" s="329"/>
    </row>
    <row r="865" spans="1:14" ht="10.5" customHeight="1">
      <c r="A865" s="394"/>
      <c r="B865" s="569"/>
      <c r="C865" s="408"/>
      <c r="D865" s="571"/>
      <c r="E865" s="153">
        <f>E871+E876</f>
        <v>12907</v>
      </c>
      <c r="F865" s="125">
        <v>3</v>
      </c>
      <c r="G865" s="438"/>
      <c r="H865" s="365"/>
      <c r="I865" s="329"/>
      <c r="J865" s="329"/>
      <c r="K865" s="329"/>
      <c r="L865" s="329"/>
      <c r="M865" s="492"/>
      <c r="N865" s="329"/>
    </row>
    <row r="866" spans="1:14" ht="10.5" customHeight="1">
      <c r="A866" s="394"/>
      <c r="B866" s="569"/>
      <c r="C866" s="408"/>
      <c r="D866" s="571"/>
      <c r="E866" s="153">
        <f>E878+E879+E880</f>
        <v>187668.75</v>
      </c>
      <c r="F866" s="125">
        <v>4</v>
      </c>
      <c r="G866" s="438"/>
      <c r="H866" s="365"/>
      <c r="I866" s="329"/>
      <c r="J866" s="329"/>
      <c r="K866" s="329"/>
      <c r="L866" s="329"/>
      <c r="M866" s="492"/>
      <c r="N866" s="329"/>
    </row>
    <row r="867" spans="1:14" ht="12.75" customHeight="1">
      <c r="A867" s="394"/>
      <c r="B867" s="570"/>
      <c r="C867" s="408"/>
      <c r="D867" s="571"/>
      <c r="E867" s="153">
        <f>E862+E863+E865+E866</f>
        <v>245865.75</v>
      </c>
      <c r="F867" s="125">
        <v>5</v>
      </c>
      <c r="G867" s="438"/>
      <c r="H867" s="365"/>
      <c r="I867" s="329"/>
      <c r="J867" s="329"/>
      <c r="K867" s="329"/>
      <c r="L867" s="329"/>
      <c r="M867" s="492"/>
      <c r="N867" s="329"/>
    </row>
    <row r="868" spans="1:14" ht="11.25" customHeight="1">
      <c r="A868" s="394"/>
      <c r="B868" s="155" t="s">
        <v>230</v>
      </c>
      <c r="C868" s="311"/>
      <c r="D868" s="475">
        <v>2011</v>
      </c>
      <c r="E868" s="6">
        <v>6907.6</v>
      </c>
      <c r="F868" s="4">
        <v>1</v>
      </c>
      <c r="G868" s="337">
        <v>1.33</v>
      </c>
      <c r="H868" s="337">
        <v>1450.1</v>
      </c>
      <c r="I868" s="329">
        <v>1.082</v>
      </c>
      <c r="J868" s="329" t="s">
        <v>231</v>
      </c>
      <c r="K868" s="329" t="s">
        <v>231</v>
      </c>
      <c r="L868" s="329">
        <v>0.208</v>
      </c>
      <c r="M868" s="329" t="s">
        <v>231</v>
      </c>
      <c r="N868" s="329" t="s">
        <v>231</v>
      </c>
    </row>
    <row r="869" spans="1:14" ht="11.25" customHeight="1">
      <c r="A869" s="394"/>
      <c r="B869" s="158"/>
      <c r="C869" s="311"/>
      <c r="D869" s="475"/>
      <c r="E869" s="6">
        <v>7950.4</v>
      </c>
      <c r="F869" s="4">
        <v>2</v>
      </c>
      <c r="G869" s="337"/>
      <c r="H869" s="337"/>
      <c r="I869" s="329"/>
      <c r="J869" s="329"/>
      <c r="K869" s="329"/>
      <c r="L869" s="329"/>
      <c r="M869" s="329"/>
      <c r="N869" s="329"/>
    </row>
    <row r="870" spans="1:14" ht="11.25" customHeight="1">
      <c r="A870" s="394"/>
      <c r="B870" s="158"/>
      <c r="C870" s="311"/>
      <c r="D870" s="475"/>
      <c r="E870" s="6">
        <v>3975.2</v>
      </c>
      <c r="F870" s="4" t="s">
        <v>258</v>
      </c>
      <c r="G870" s="337"/>
      <c r="H870" s="337"/>
      <c r="I870" s="329"/>
      <c r="J870" s="329"/>
      <c r="K870" s="329"/>
      <c r="L870" s="329"/>
      <c r="M870" s="329"/>
      <c r="N870" s="329"/>
    </row>
    <row r="871" spans="1:14" ht="11.25" customHeight="1">
      <c r="A871" s="394"/>
      <c r="B871" s="158"/>
      <c r="C871" s="311"/>
      <c r="D871" s="475"/>
      <c r="E871" s="6">
        <v>4893.8</v>
      </c>
      <c r="F871" s="4">
        <v>3</v>
      </c>
      <c r="G871" s="337"/>
      <c r="H871" s="337"/>
      <c r="I871" s="329"/>
      <c r="J871" s="329"/>
      <c r="K871" s="329"/>
      <c r="L871" s="329"/>
      <c r="M871" s="329"/>
      <c r="N871" s="329"/>
    </row>
    <row r="872" spans="1:14" ht="11.25" customHeight="1">
      <c r="A872" s="394"/>
      <c r="B872" s="158"/>
      <c r="C872" s="311"/>
      <c r="D872" s="475"/>
      <c r="E872" s="6">
        <f>E868+E869+E871</f>
        <v>19751.8</v>
      </c>
      <c r="F872" s="4">
        <v>5</v>
      </c>
      <c r="G872" s="337"/>
      <c r="H872" s="337"/>
      <c r="I872" s="329"/>
      <c r="J872" s="329"/>
      <c r="K872" s="329"/>
      <c r="L872" s="329"/>
      <c r="M872" s="329"/>
      <c r="N872" s="329"/>
    </row>
    <row r="873" spans="1:14" ht="11.25" customHeight="1">
      <c r="A873" s="394"/>
      <c r="B873" s="158" t="s">
        <v>230</v>
      </c>
      <c r="C873" s="311"/>
      <c r="D873" s="475">
        <v>2012</v>
      </c>
      <c r="E873" s="6">
        <v>21302.4</v>
      </c>
      <c r="F873" s="4">
        <v>1</v>
      </c>
      <c r="G873" s="337">
        <v>1.51</v>
      </c>
      <c r="H873" s="337">
        <v>1691.8</v>
      </c>
      <c r="I873" s="329">
        <v>1.196</v>
      </c>
      <c r="J873" s="329" t="s">
        <v>231</v>
      </c>
      <c r="K873" s="329" t="s">
        <v>231</v>
      </c>
      <c r="L873" s="329">
        <v>0.351</v>
      </c>
      <c r="M873" s="329" t="s">
        <v>231</v>
      </c>
      <c r="N873" s="329" t="s">
        <v>231</v>
      </c>
    </row>
    <row r="874" spans="1:14" ht="11.25" customHeight="1">
      <c r="A874" s="394"/>
      <c r="B874" s="158"/>
      <c r="C874" s="311"/>
      <c r="D874" s="475"/>
      <c r="E874" s="6">
        <v>9129.6</v>
      </c>
      <c r="F874" s="4">
        <v>2</v>
      </c>
      <c r="G874" s="337"/>
      <c r="H874" s="337"/>
      <c r="I874" s="329"/>
      <c r="J874" s="329"/>
      <c r="K874" s="329"/>
      <c r="L874" s="329"/>
      <c r="M874" s="329"/>
      <c r="N874" s="329"/>
    </row>
    <row r="875" spans="1:14" ht="10.5" customHeight="1">
      <c r="A875" s="394"/>
      <c r="B875" s="158"/>
      <c r="C875" s="311"/>
      <c r="D875" s="475"/>
      <c r="E875" s="6">
        <v>4564.8</v>
      </c>
      <c r="F875" s="4" t="s">
        <v>258</v>
      </c>
      <c r="G875" s="337"/>
      <c r="H875" s="337"/>
      <c r="I875" s="329"/>
      <c r="J875" s="329"/>
      <c r="K875" s="329"/>
      <c r="L875" s="329"/>
      <c r="M875" s="329"/>
      <c r="N875" s="329"/>
    </row>
    <row r="876" spans="1:14" ht="10.5" customHeight="1">
      <c r="A876" s="394"/>
      <c r="B876" s="158"/>
      <c r="C876" s="311"/>
      <c r="D876" s="475"/>
      <c r="E876" s="6">
        <v>8013.2</v>
      </c>
      <c r="F876" s="4">
        <v>3</v>
      </c>
      <c r="G876" s="337"/>
      <c r="H876" s="337"/>
      <c r="I876" s="329"/>
      <c r="J876" s="329"/>
      <c r="K876" s="329"/>
      <c r="L876" s="329"/>
      <c r="M876" s="329"/>
      <c r="N876" s="329"/>
    </row>
    <row r="877" spans="1:14" ht="10.5" customHeight="1">
      <c r="A877" s="394"/>
      <c r="B877" s="158"/>
      <c r="C877" s="311"/>
      <c r="D877" s="475"/>
      <c r="E877" s="6">
        <f>E873+E874+E876</f>
        <v>38445.2</v>
      </c>
      <c r="F877" s="4">
        <v>5</v>
      </c>
      <c r="G877" s="337"/>
      <c r="H877" s="337"/>
      <c r="I877" s="329"/>
      <c r="J877" s="329"/>
      <c r="K877" s="329"/>
      <c r="L877" s="329"/>
      <c r="M877" s="329"/>
      <c r="N877" s="329"/>
    </row>
    <row r="878" spans="1:14" ht="11.25" customHeight="1">
      <c r="A878" s="394"/>
      <c r="B878" s="158" t="s">
        <v>62</v>
      </c>
      <c r="C878" s="311"/>
      <c r="D878" s="157">
        <v>2013</v>
      </c>
      <c r="E878" s="6">
        <v>51916.53</v>
      </c>
      <c r="F878" s="4">
        <v>4</v>
      </c>
      <c r="G878" s="6">
        <f>L878*0.325+I878*1.149</f>
        <v>3.20955</v>
      </c>
      <c r="H878" s="6">
        <v>5693.6</v>
      </c>
      <c r="I878" s="5">
        <v>2.7</v>
      </c>
      <c r="J878" s="5"/>
      <c r="K878" s="5"/>
      <c r="L878" s="5">
        <v>0.33</v>
      </c>
      <c r="M878" s="5"/>
      <c r="N878" s="5"/>
    </row>
    <row r="879" spans="1:14" ht="11.25" customHeight="1">
      <c r="A879" s="394"/>
      <c r="B879" s="158" t="s">
        <v>63</v>
      </c>
      <c r="C879" s="311"/>
      <c r="D879" s="157">
        <v>2014</v>
      </c>
      <c r="E879" s="6">
        <v>60154.42</v>
      </c>
      <c r="F879" s="4">
        <v>4</v>
      </c>
      <c r="G879" s="6">
        <f>L879*0.325+I879*1.149</f>
        <v>4.22241</v>
      </c>
      <c r="H879" s="6">
        <v>6576.2</v>
      </c>
      <c r="I879" s="5">
        <v>3.59</v>
      </c>
      <c r="J879" s="5" t="s">
        <v>231</v>
      </c>
      <c r="K879" s="5" t="s">
        <v>231</v>
      </c>
      <c r="L879" s="5">
        <v>0.3</v>
      </c>
      <c r="M879" s="5" t="s">
        <v>231</v>
      </c>
      <c r="N879" s="5" t="s">
        <v>231</v>
      </c>
    </row>
    <row r="880" spans="1:14" ht="11.25" customHeight="1">
      <c r="A880" s="413"/>
      <c r="B880" s="159" t="s">
        <v>64</v>
      </c>
      <c r="C880" s="312"/>
      <c r="D880" s="151">
        <v>2015</v>
      </c>
      <c r="E880" s="6">
        <v>75597.8</v>
      </c>
      <c r="F880" s="4">
        <v>4</v>
      </c>
      <c r="G880" s="6">
        <f>L880*0.325+I880*1.149</f>
        <v>0.32822000000000007</v>
      </c>
      <c r="H880" s="6">
        <v>502.61</v>
      </c>
      <c r="I880" s="5">
        <v>0.28</v>
      </c>
      <c r="J880" s="5" t="s">
        <v>231</v>
      </c>
      <c r="K880" s="5" t="s">
        <v>231</v>
      </c>
      <c r="L880" s="5">
        <v>0.02</v>
      </c>
      <c r="M880" s="27"/>
      <c r="N880" s="53"/>
    </row>
    <row r="881" spans="1:14" ht="15" customHeight="1">
      <c r="A881" s="407">
        <v>119</v>
      </c>
      <c r="B881" s="397" t="s">
        <v>413</v>
      </c>
      <c r="C881" s="407" t="s">
        <v>226</v>
      </c>
      <c r="D881" s="322" t="s">
        <v>120</v>
      </c>
      <c r="E881" s="136">
        <v>33364.4</v>
      </c>
      <c r="F881" s="161">
        <v>1</v>
      </c>
      <c r="G881" s="480">
        <f>SUM(G886:G910)</f>
        <v>14.298000000000002</v>
      </c>
      <c r="H881" s="480">
        <f>SUM(H886:H910)</f>
        <v>27095.24</v>
      </c>
      <c r="I881" s="492"/>
      <c r="J881" s="492"/>
      <c r="K881" s="492"/>
      <c r="L881" s="492">
        <f>SUM(L886:L910)</f>
        <v>38.371</v>
      </c>
      <c r="M881" s="492"/>
      <c r="N881" s="492"/>
    </row>
    <row r="882" spans="1:14" ht="15.75" customHeight="1">
      <c r="A882" s="386"/>
      <c r="B882" s="390"/>
      <c r="C882" s="386"/>
      <c r="D882" s="345"/>
      <c r="E882" s="6">
        <v>18205.2</v>
      </c>
      <c r="F882" s="4">
        <v>2</v>
      </c>
      <c r="G882" s="365"/>
      <c r="H882" s="365"/>
      <c r="I882" s="365"/>
      <c r="J882" s="365"/>
      <c r="K882" s="365"/>
      <c r="L882" s="365"/>
      <c r="M882" s="365"/>
      <c r="N882" s="365"/>
    </row>
    <row r="883" spans="1:14" ht="15" customHeight="1">
      <c r="A883" s="386"/>
      <c r="B883" s="390"/>
      <c r="C883" s="386"/>
      <c r="D883" s="345"/>
      <c r="E883" s="6">
        <v>9102.6</v>
      </c>
      <c r="F883" s="4" t="s">
        <v>258</v>
      </c>
      <c r="G883" s="365"/>
      <c r="H883" s="365"/>
      <c r="I883" s="365"/>
      <c r="J883" s="365"/>
      <c r="K883" s="365"/>
      <c r="L883" s="365"/>
      <c r="M883" s="365"/>
      <c r="N883" s="365"/>
    </row>
    <row r="884" spans="1:14" ht="15" customHeight="1">
      <c r="A884" s="386"/>
      <c r="B884" s="390"/>
      <c r="C884" s="386"/>
      <c r="D884" s="345"/>
      <c r="E884" s="6">
        <v>145.7</v>
      </c>
      <c r="F884" s="4">
        <v>3</v>
      </c>
      <c r="G884" s="365"/>
      <c r="H884" s="365"/>
      <c r="I884" s="365"/>
      <c r="J884" s="365"/>
      <c r="K884" s="365"/>
      <c r="L884" s="365"/>
      <c r="M884" s="365"/>
      <c r="N884" s="365"/>
    </row>
    <row r="885" spans="1:14" ht="15.75" customHeight="1">
      <c r="A885" s="386"/>
      <c r="B885" s="395"/>
      <c r="C885" s="386"/>
      <c r="D885" s="345"/>
      <c r="E885" s="6">
        <f>E881+E882+E884</f>
        <v>51715.3</v>
      </c>
      <c r="F885" s="4">
        <v>5</v>
      </c>
      <c r="G885" s="365"/>
      <c r="H885" s="365"/>
      <c r="I885" s="365"/>
      <c r="J885" s="365"/>
      <c r="K885" s="365"/>
      <c r="L885" s="365"/>
      <c r="M885" s="365"/>
      <c r="N885" s="365"/>
    </row>
    <row r="886" spans="1:14" ht="10.5" customHeight="1">
      <c r="A886" s="374"/>
      <c r="B886" s="18">
        <v>112</v>
      </c>
      <c r="C886" s="386"/>
      <c r="D886" s="428">
        <v>2011</v>
      </c>
      <c r="E886" s="6">
        <v>12680.7</v>
      </c>
      <c r="F886" s="17">
        <v>1</v>
      </c>
      <c r="G886" s="337">
        <v>4.31</v>
      </c>
      <c r="H886" s="337">
        <v>8357.85</v>
      </c>
      <c r="I886" s="329"/>
      <c r="J886" s="329"/>
      <c r="K886" s="329"/>
      <c r="L886" s="329">
        <v>11.797</v>
      </c>
      <c r="M886" s="329"/>
      <c r="N886" s="329"/>
    </row>
    <row r="887" spans="1:14" ht="9.75" customHeight="1">
      <c r="A887" s="374"/>
      <c r="B887" s="81"/>
      <c r="C887" s="386"/>
      <c r="D887" s="487"/>
      <c r="E887" s="6">
        <v>5437.3</v>
      </c>
      <c r="F887" s="4">
        <v>2</v>
      </c>
      <c r="G887" s="337"/>
      <c r="H887" s="337"/>
      <c r="I887" s="329"/>
      <c r="J887" s="329"/>
      <c r="K887" s="329"/>
      <c r="L887" s="329"/>
      <c r="M887" s="329"/>
      <c r="N887" s="329"/>
    </row>
    <row r="888" spans="1:14" ht="10.5" customHeight="1">
      <c r="A888" s="374"/>
      <c r="B888" s="81"/>
      <c r="C888" s="386"/>
      <c r="D888" s="487"/>
      <c r="E888" s="6">
        <v>2718.65</v>
      </c>
      <c r="F888" s="4" t="s">
        <v>258</v>
      </c>
      <c r="G888" s="337"/>
      <c r="H888" s="337"/>
      <c r="I888" s="329"/>
      <c r="J888" s="329"/>
      <c r="K888" s="329"/>
      <c r="L888" s="329"/>
      <c r="M888" s="329"/>
      <c r="N888" s="329"/>
    </row>
    <row r="889" spans="1:14" ht="10.5" customHeight="1">
      <c r="A889" s="374"/>
      <c r="B889" s="81"/>
      <c r="C889" s="386"/>
      <c r="D889" s="487"/>
      <c r="E889" s="6">
        <v>41</v>
      </c>
      <c r="F889" s="4">
        <v>3</v>
      </c>
      <c r="G889" s="337"/>
      <c r="H889" s="337"/>
      <c r="I889" s="329"/>
      <c r="J889" s="329"/>
      <c r="K889" s="329"/>
      <c r="L889" s="329"/>
      <c r="M889" s="329"/>
      <c r="N889" s="329"/>
    </row>
    <row r="890" spans="1:14" ht="10.5" customHeight="1">
      <c r="A890" s="374"/>
      <c r="B890" s="81"/>
      <c r="C890" s="386"/>
      <c r="D890" s="487"/>
      <c r="E890" s="6">
        <f>E886+E887+E889</f>
        <v>18159</v>
      </c>
      <c r="F890" s="4">
        <v>5</v>
      </c>
      <c r="G890" s="337"/>
      <c r="H890" s="337"/>
      <c r="I890" s="329"/>
      <c r="J890" s="329"/>
      <c r="K890" s="329"/>
      <c r="L890" s="329"/>
      <c r="M890" s="329"/>
      <c r="N890" s="329"/>
    </row>
    <row r="891" spans="1:14" ht="10.5" customHeight="1">
      <c r="A891" s="374"/>
      <c r="B891" s="81">
        <v>94</v>
      </c>
      <c r="C891" s="386"/>
      <c r="D891" s="428">
        <v>2012</v>
      </c>
      <c r="E891" s="6">
        <v>9416.8</v>
      </c>
      <c r="F891" s="17">
        <v>1</v>
      </c>
      <c r="G891" s="337">
        <v>3.76</v>
      </c>
      <c r="H891" s="337">
        <v>7233.52</v>
      </c>
      <c r="I891" s="329"/>
      <c r="J891" s="329"/>
      <c r="K891" s="329"/>
      <c r="L891" s="329">
        <v>10.256</v>
      </c>
      <c r="M891" s="329"/>
      <c r="N891" s="329"/>
    </row>
    <row r="892" spans="1:14" ht="10.5" customHeight="1">
      <c r="A892" s="374"/>
      <c r="B892" s="81"/>
      <c r="C892" s="386"/>
      <c r="D892" s="428"/>
      <c r="E892" s="6">
        <v>4419.4</v>
      </c>
      <c r="F892" s="4">
        <v>2</v>
      </c>
      <c r="G892" s="337"/>
      <c r="H892" s="337"/>
      <c r="I892" s="329"/>
      <c r="J892" s="329"/>
      <c r="K892" s="329"/>
      <c r="L892" s="329"/>
      <c r="M892" s="329"/>
      <c r="N892" s="329"/>
    </row>
    <row r="893" spans="1:14" ht="10.5" customHeight="1">
      <c r="A893" s="374"/>
      <c r="B893" s="81"/>
      <c r="C893" s="386"/>
      <c r="D893" s="428"/>
      <c r="E893" s="6">
        <v>2209.7</v>
      </c>
      <c r="F893" s="4" t="s">
        <v>258</v>
      </c>
      <c r="G893" s="337"/>
      <c r="H893" s="337"/>
      <c r="I893" s="329"/>
      <c r="J893" s="329"/>
      <c r="K893" s="329"/>
      <c r="L893" s="329"/>
      <c r="M893" s="329"/>
      <c r="N893" s="329"/>
    </row>
    <row r="894" spans="1:14" ht="9.75" customHeight="1">
      <c r="A894" s="374"/>
      <c r="B894" s="81"/>
      <c r="C894" s="386"/>
      <c r="D894" s="428"/>
      <c r="E894" s="6">
        <v>21</v>
      </c>
      <c r="F894" s="4">
        <v>3</v>
      </c>
      <c r="G894" s="337"/>
      <c r="H894" s="337"/>
      <c r="I894" s="329"/>
      <c r="J894" s="329"/>
      <c r="K894" s="329"/>
      <c r="L894" s="329"/>
      <c r="M894" s="329"/>
      <c r="N894" s="329"/>
    </row>
    <row r="895" spans="1:14" ht="10.5" customHeight="1">
      <c r="A895" s="374"/>
      <c r="B895" s="81"/>
      <c r="C895" s="386"/>
      <c r="D895" s="428"/>
      <c r="E895" s="6">
        <f>E891+E892+E894</f>
        <v>13857.199999999999</v>
      </c>
      <c r="F895" s="4">
        <v>5</v>
      </c>
      <c r="G895" s="337"/>
      <c r="H895" s="337"/>
      <c r="I895" s="329"/>
      <c r="J895" s="329"/>
      <c r="K895" s="329"/>
      <c r="L895" s="329"/>
      <c r="M895" s="329"/>
      <c r="N895" s="329"/>
    </row>
    <row r="896" spans="1:14" ht="10.5" customHeight="1">
      <c r="A896" s="374"/>
      <c r="B896" s="81">
        <v>75</v>
      </c>
      <c r="C896" s="386"/>
      <c r="D896" s="428">
        <v>2013</v>
      </c>
      <c r="E896" s="6">
        <v>8807.9</v>
      </c>
      <c r="F896" s="17">
        <v>1</v>
      </c>
      <c r="G896" s="337">
        <v>2.55</v>
      </c>
      <c r="H896" s="337">
        <v>4787.55</v>
      </c>
      <c r="I896" s="329"/>
      <c r="J896" s="329"/>
      <c r="K896" s="329"/>
      <c r="L896" s="329">
        <v>6.796</v>
      </c>
      <c r="M896" s="329"/>
      <c r="N896" s="329"/>
    </row>
    <row r="897" spans="1:14" ht="10.5" customHeight="1">
      <c r="A897" s="374"/>
      <c r="B897" s="81"/>
      <c r="C897" s="386"/>
      <c r="D897" s="487"/>
      <c r="E897" s="6">
        <v>3765.1</v>
      </c>
      <c r="F897" s="4">
        <v>2</v>
      </c>
      <c r="G897" s="337"/>
      <c r="H897" s="337"/>
      <c r="I897" s="329"/>
      <c r="J897" s="329"/>
      <c r="K897" s="329"/>
      <c r="L897" s="329"/>
      <c r="M897" s="329"/>
      <c r="N897" s="329"/>
    </row>
    <row r="898" spans="1:14" ht="10.5" customHeight="1">
      <c r="A898" s="374"/>
      <c r="B898" s="81"/>
      <c r="C898" s="386"/>
      <c r="D898" s="487"/>
      <c r="E898" s="6">
        <v>1882.55</v>
      </c>
      <c r="F898" s="4" t="s">
        <v>258</v>
      </c>
      <c r="G898" s="337"/>
      <c r="H898" s="337"/>
      <c r="I898" s="329"/>
      <c r="J898" s="329"/>
      <c r="K898" s="329"/>
      <c r="L898" s="329"/>
      <c r="M898" s="329"/>
      <c r="N898" s="329"/>
    </row>
    <row r="899" spans="1:14" ht="10.5" customHeight="1">
      <c r="A899" s="374"/>
      <c r="B899" s="81"/>
      <c r="C899" s="386"/>
      <c r="D899" s="487"/>
      <c r="E899" s="6">
        <v>29.7</v>
      </c>
      <c r="F899" s="4">
        <v>3</v>
      </c>
      <c r="G899" s="337"/>
      <c r="H899" s="337"/>
      <c r="I899" s="329"/>
      <c r="J899" s="329"/>
      <c r="K899" s="329"/>
      <c r="L899" s="329"/>
      <c r="M899" s="329"/>
      <c r="N899" s="329"/>
    </row>
    <row r="900" spans="1:14" ht="10.5" customHeight="1">
      <c r="A900" s="374"/>
      <c r="B900" s="81"/>
      <c r="C900" s="386"/>
      <c r="D900" s="487"/>
      <c r="E900" s="6">
        <f>E896+E897+E899</f>
        <v>12602.7</v>
      </c>
      <c r="F900" s="4">
        <v>5</v>
      </c>
      <c r="G900" s="337"/>
      <c r="H900" s="337"/>
      <c r="I900" s="329"/>
      <c r="J900" s="329"/>
      <c r="K900" s="329"/>
      <c r="L900" s="329"/>
      <c r="M900" s="329"/>
      <c r="N900" s="329"/>
    </row>
    <row r="901" spans="1:14" ht="10.5" customHeight="1">
      <c r="A901" s="374"/>
      <c r="B901" s="81">
        <v>75</v>
      </c>
      <c r="C901" s="386"/>
      <c r="D901" s="428">
        <v>2014</v>
      </c>
      <c r="E901" s="6">
        <v>1229.5</v>
      </c>
      <c r="F901" s="4">
        <v>1</v>
      </c>
      <c r="G901" s="337">
        <v>1.84</v>
      </c>
      <c r="H901" s="337">
        <v>3358.16</v>
      </c>
      <c r="I901" s="329"/>
      <c r="J901" s="329"/>
      <c r="K901" s="329"/>
      <c r="L901" s="329">
        <v>4.761</v>
      </c>
      <c r="M901" s="329"/>
      <c r="N901" s="329"/>
    </row>
    <row r="902" spans="1:14" ht="10.5" customHeight="1">
      <c r="A902" s="374"/>
      <c r="B902" s="81"/>
      <c r="C902" s="386"/>
      <c r="D902" s="487"/>
      <c r="E902" s="6">
        <v>2291.7</v>
      </c>
      <c r="F902" s="4">
        <v>2</v>
      </c>
      <c r="G902" s="337"/>
      <c r="H902" s="337"/>
      <c r="I902" s="329"/>
      <c r="J902" s="329"/>
      <c r="K902" s="329"/>
      <c r="L902" s="329"/>
      <c r="M902" s="329"/>
      <c r="N902" s="329"/>
    </row>
    <row r="903" spans="1:14" ht="10.5" customHeight="1">
      <c r="A903" s="374"/>
      <c r="B903" s="81"/>
      <c r="C903" s="386"/>
      <c r="D903" s="487"/>
      <c r="E903" s="6">
        <v>1145.85</v>
      </c>
      <c r="F903" s="4" t="s">
        <v>258</v>
      </c>
      <c r="G903" s="337"/>
      <c r="H903" s="337"/>
      <c r="I903" s="329"/>
      <c r="J903" s="329"/>
      <c r="K903" s="329"/>
      <c r="L903" s="329"/>
      <c r="M903" s="329"/>
      <c r="N903" s="329"/>
    </row>
    <row r="904" spans="1:14" ht="10.5" customHeight="1">
      <c r="A904" s="374"/>
      <c r="B904" s="81"/>
      <c r="C904" s="386"/>
      <c r="D904" s="487"/>
      <c r="E904" s="6">
        <v>27</v>
      </c>
      <c r="F904" s="4">
        <v>3</v>
      </c>
      <c r="G904" s="337"/>
      <c r="H904" s="337"/>
      <c r="I904" s="329"/>
      <c r="J904" s="329"/>
      <c r="K904" s="329"/>
      <c r="L904" s="329"/>
      <c r="M904" s="329"/>
      <c r="N904" s="329"/>
    </row>
    <row r="905" spans="1:14" ht="10.5" customHeight="1">
      <c r="A905" s="374"/>
      <c r="B905" s="162"/>
      <c r="C905" s="387"/>
      <c r="D905" s="487"/>
      <c r="E905" s="6">
        <f>E901+E902+E904</f>
        <v>3548.2</v>
      </c>
      <c r="F905" s="4">
        <v>5</v>
      </c>
      <c r="G905" s="337"/>
      <c r="H905" s="337"/>
      <c r="I905" s="329"/>
      <c r="J905" s="329"/>
      <c r="K905" s="329"/>
      <c r="L905" s="329"/>
      <c r="M905" s="329"/>
      <c r="N905" s="329"/>
    </row>
    <row r="906" spans="1:14" ht="9.75" customHeight="1">
      <c r="A906" s="163"/>
      <c r="B906" s="18">
        <v>75</v>
      </c>
      <c r="C906" s="163"/>
      <c r="D906" s="417">
        <v>2015</v>
      </c>
      <c r="E906" s="6">
        <v>1229.5</v>
      </c>
      <c r="F906" s="4">
        <v>1</v>
      </c>
      <c r="G906" s="337">
        <v>1.838</v>
      </c>
      <c r="H906" s="337">
        <v>3358.16</v>
      </c>
      <c r="I906" s="329"/>
      <c r="J906" s="329"/>
      <c r="K906" s="329"/>
      <c r="L906" s="329">
        <v>4.761</v>
      </c>
      <c r="M906" s="467"/>
      <c r="N906" s="340"/>
    </row>
    <row r="907" spans="1:14" ht="9.75" customHeight="1">
      <c r="A907" s="128"/>
      <c r="B907" s="34"/>
      <c r="C907" s="128"/>
      <c r="D907" s="417"/>
      <c r="E907" s="6">
        <v>2291.7</v>
      </c>
      <c r="F907" s="4">
        <v>2</v>
      </c>
      <c r="G907" s="337"/>
      <c r="H907" s="337"/>
      <c r="I907" s="329"/>
      <c r="J907" s="329"/>
      <c r="K907" s="329"/>
      <c r="L907" s="329"/>
      <c r="M907" s="467"/>
      <c r="N907" s="340"/>
    </row>
    <row r="908" spans="1:14" ht="10.5" customHeight="1">
      <c r="A908" s="128"/>
      <c r="B908" s="34"/>
      <c r="C908" s="128"/>
      <c r="D908" s="417"/>
      <c r="E908" s="6">
        <v>1145.85</v>
      </c>
      <c r="F908" s="4" t="s">
        <v>258</v>
      </c>
      <c r="G908" s="337"/>
      <c r="H908" s="337"/>
      <c r="I908" s="329"/>
      <c r="J908" s="329"/>
      <c r="K908" s="329"/>
      <c r="L908" s="329"/>
      <c r="M908" s="467"/>
      <c r="N908" s="340"/>
    </row>
    <row r="909" spans="1:14" ht="10.5" customHeight="1">
      <c r="A909" s="128"/>
      <c r="B909" s="34"/>
      <c r="C909" s="128"/>
      <c r="D909" s="417"/>
      <c r="E909" s="6">
        <v>27</v>
      </c>
      <c r="F909" s="4">
        <v>3</v>
      </c>
      <c r="G909" s="337"/>
      <c r="H909" s="337"/>
      <c r="I909" s="329"/>
      <c r="J909" s="329"/>
      <c r="K909" s="329"/>
      <c r="L909" s="329"/>
      <c r="M909" s="467"/>
      <c r="N909" s="340"/>
    </row>
    <row r="910" spans="1:14" ht="9.75" customHeight="1">
      <c r="A910" s="130"/>
      <c r="B910" s="34"/>
      <c r="C910" s="128"/>
      <c r="D910" s="417"/>
      <c r="E910" s="6">
        <f>E906+E907+E909</f>
        <v>3548.2</v>
      </c>
      <c r="F910" s="4">
        <v>5</v>
      </c>
      <c r="G910" s="337"/>
      <c r="H910" s="337"/>
      <c r="I910" s="329"/>
      <c r="J910" s="329"/>
      <c r="K910" s="329"/>
      <c r="L910" s="329"/>
      <c r="M910" s="467"/>
      <c r="N910" s="340"/>
    </row>
    <row r="911" spans="1:14" ht="10.5" customHeight="1">
      <c r="A911" s="401">
        <v>120</v>
      </c>
      <c r="B911" s="395" t="s">
        <v>232</v>
      </c>
      <c r="C911" s="145" t="s">
        <v>226</v>
      </c>
      <c r="D911" s="320" t="s">
        <v>120</v>
      </c>
      <c r="E911" s="135">
        <f>E917+E923+E924+E930+E936</f>
        <v>94776</v>
      </c>
      <c r="F911" s="17">
        <v>1</v>
      </c>
      <c r="G911" s="480">
        <f>SUM(G917:G941)</f>
        <v>17.014000000000003</v>
      </c>
      <c r="H911" s="480">
        <f>SUM(H917:H941)</f>
        <v>34802.99</v>
      </c>
      <c r="I911" s="492">
        <f>SUM(I917:I941)</f>
        <v>10.008000000000001</v>
      </c>
      <c r="J911" s="492"/>
      <c r="K911" s="492"/>
      <c r="L911" s="492">
        <f>SUM(L917:L941)</f>
        <v>15.333000000000002</v>
      </c>
      <c r="M911" s="492"/>
      <c r="N911" s="492"/>
    </row>
    <row r="912" spans="1:14" ht="10.5" customHeight="1">
      <c r="A912" s="386"/>
      <c r="B912" s="396"/>
      <c r="C912" s="147"/>
      <c r="D912" s="572"/>
      <c r="E912" s="6">
        <f>E918+E925+E931+E937</f>
        <v>21179</v>
      </c>
      <c r="F912" s="4">
        <v>2</v>
      </c>
      <c r="G912" s="494"/>
      <c r="H912" s="494"/>
      <c r="I912" s="494"/>
      <c r="J912" s="494"/>
      <c r="K912" s="494"/>
      <c r="L912" s="494"/>
      <c r="M912" s="494"/>
      <c r="N912" s="494"/>
    </row>
    <row r="913" spans="1:14" ht="10.5" customHeight="1">
      <c r="A913" s="386"/>
      <c r="B913" s="396"/>
      <c r="C913" s="147"/>
      <c r="D913" s="572"/>
      <c r="E913" s="6">
        <v>10589.5</v>
      </c>
      <c r="F913" s="4" t="s">
        <v>258</v>
      </c>
      <c r="G913" s="494"/>
      <c r="H913" s="494"/>
      <c r="I913" s="494"/>
      <c r="J913" s="494"/>
      <c r="K913" s="494"/>
      <c r="L913" s="494"/>
      <c r="M913" s="494"/>
      <c r="N913" s="494"/>
    </row>
    <row r="914" spans="1:14" ht="10.5" customHeight="1">
      <c r="A914" s="386"/>
      <c r="B914" s="396"/>
      <c r="C914" s="147"/>
      <c r="D914" s="572"/>
      <c r="E914" s="6">
        <f>E920+E927+E933+E939</f>
        <v>6780</v>
      </c>
      <c r="F914" s="4">
        <v>3</v>
      </c>
      <c r="G914" s="494"/>
      <c r="H914" s="494"/>
      <c r="I914" s="494"/>
      <c r="J914" s="494"/>
      <c r="K914" s="494"/>
      <c r="L914" s="494"/>
      <c r="M914" s="494"/>
      <c r="N914" s="494"/>
    </row>
    <row r="915" spans="1:14" ht="11.25" customHeight="1">
      <c r="A915" s="386"/>
      <c r="B915" s="396"/>
      <c r="C915" s="147"/>
      <c r="D915" s="572"/>
      <c r="E915" s="6">
        <f>E921+E928+E934+E940</f>
        <v>8295</v>
      </c>
      <c r="F915" s="4">
        <v>4</v>
      </c>
      <c r="G915" s="494"/>
      <c r="H915" s="494"/>
      <c r="I915" s="494"/>
      <c r="J915" s="494"/>
      <c r="K915" s="494"/>
      <c r="L915" s="494"/>
      <c r="M915" s="494"/>
      <c r="N915" s="494"/>
    </row>
    <row r="916" spans="1:14" ht="11.25" customHeight="1">
      <c r="A916" s="386"/>
      <c r="B916" s="396"/>
      <c r="C916" s="147"/>
      <c r="D916" s="572"/>
      <c r="E916" s="6">
        <f>E911+E912+E914+E915</f>
        <v>131030</v>
      </c>
      <c r="F916" s="4">
        <v>5</v>
      </c>
      <c r="G916" s="494"/>
      <c r="H916" s="494"/>
      <c r="I916" s="494"/>
      <c r="J916" s="494"/>
      <c r="K916" s="494"/>
      <c r="L916" s="494"/>
      <c r="M916" s="494"/>
      <c r="N916" s="494"/>
    </row>
    <row r="917" spans="1:14" ht="10.5" customHeight="1">
      <c r="A917" s="386"/>
      <c r="B917" s="81">
        <v>3</v>
      </c>
      <c r="C917" s="147"/>
      <c r="D917" s="638">
        <v>2011</v>
      </c>
      <c r="E917" s="6">
        <v>20078</v>
      </c>
      <c r="F917" s="4">
        <v>1</v>
      </c>
      <c r="G917" s="337">
        <v>1.22</v>
      </c>
      <c r="H917" s="337">
        <v>4769.33</v>
      </c>
      <c r="I917" s="329"/>
      <c r="J917" s="329"/>
      <c r="K917" s="329"/>
      <c r="L917" s="329">
        <v>3.47</v>
      </c>
      <c r="M917" s="329"/>
      <c r="N917" s="329"/>
    </row>
    <row r="918" spans="1:14" ht="10.5" customHeight="1">
      <c r="A918" s="386"/>
      <c r="B918" s="81"/>
      <c r="C918" s="147"/>
      <c r="D918" s="639"/>
      <c r="E918" s="6">
        <v>2942</v>
      </c>
      <c r="F918" s="4">
        <v>2</v>
      </c>
      <c r="G918" s="337"/>
      <c r="H918" s="337"/>
      <c r="I918" s="329"/>
      <c r="J918" s="329"/>
      <c r="K918" s="329"/>
      <c r="L918" s="329"/>
      <c r="M918" s="329"/>
      <c r="N918" s="329"/>
    </row>
    <row r="919" spans="1:14" ht="10.5" customHeight="1">
      <c r="A919" s="386"/>
      <c r="B919" s="81"/>
      <c r="C919" s="147"/>
      <c r="D919" s="639"/>
      <c r="E919" s="6">
        <v>1471</v>
      </c>
      <c r="F919" s="4" t="s">
        <v>258</v>
      </c>
      <c r="G919" s="337"/>
      <c r="H919" s="337"/>
      <c r="I919" s="329"/>
      <c r="J919" s="329"/>
      <c r="K919" s="329"/>
      <c r="L919" s="329"/>
      <c r="M919" s="329"/>
      <c r="N919" s="329"/>
    </row>
    <row r="920" spans="1:14" ht="10.5" customHeight="1">
      <c r="A920" s="386"/>
      <c r="B920" s="81"/>
      <c r="C920" s="147"/>
      <c r="D920" s="639"/>
      <c r="E920" s="6">
        <v>2915</v>
      </c>
      <c r="F920" s="4">
        <v>3</v>
      </c>
      <c r="G920" s="337"/>
      <c r="H920" s="337"/>
      <c r="I920" s="329"/>
      <c r="J920" s="329"/>
      <c r="K920" s="329"/>
      <c r="L920" s="329"/>
      <c r="M920" s="329"/>
      <c r="N920" s="329"/>
    </row>
    <row r="921" spans="1:14" ht="10.5" customHeight="1">
      <c r="A921" s="386"/>
      <c r="B921" s="81"/>
      <c r="C921" s="147"/>
      <c r="D921" s="639"/>
      <c r="E921" s="6">
        <v>2765</v>
      </c>
      <c r="F921" s="4">
        <v>4</v>
      </c>
      <c r="G921" s="337"/>
      <c r="H921" s="337"/>
      <c r="I921" s="329"/>
      <c r="J921" s="329"/>
      <c r="K921" s="329"/>
      <c r="L921" s="329"/>
      <c r="M921" s="329"/>
      <c r="N921" s="329"/>
    </row>
    <row r="922" spans="1:14" ht="11.25" customHeight="1">
      <c r="A922" s="386"/>
      <c r="B922" s="162"/>
      <c r="C922" s="149"/>
      <c r="D922" s="640"/>
      <c r="E922" s="6">
        <f>E917+E918+E920+E921</f>
        <v>28700</v>
      </c>
      <c r="F922" s="4">
        <v>5</v>
      </c>
      <c r="G922" s="337"/>
      <c r="H922" s="337"/>
      <c r="I922" s="329"/>
      <c r="J922" s="329"/>
      <c r="K922" s="329"/>
      <c r="L922" s="329"/>
      <c r="M922" s="329"/>
      <c r="N922" s="329"/>
    </row>
    <row r="923" spans="1:14" ht="66.75" customHeight="1">
      <c r="A923" s="386"/>
      <c r="B923" s="165" t="s">
        <v>388</v>
      </c>
      <c r="C923" s="162" t="s">
        <v>389</v>
      </c>
      <c r="D923" s="30">
        <v>2012</v>
      </c>
      <c r="E923" s="78">
        <v>15000</v>
      </c>
      <c r="F923" s="123">
        <v>1</v>
      </c>
      <c r="G923" s="78">
        <v>0.853</v>
      </c>
      <c r="H923" s="78">
        <v>3688.3</v>
      </c>
      <c r="I923" s="124">
        <v>0.692</v>
      </c>
      <c r="J923" s="124"/>
      <c r="K923" s="124"/>
      <c r="L923" s="124"/>
      <c r="M923" s="124"/>
      <c r="N923" s="124"/>
    </row>
    <row r="924" spans="1:14" ht="10.5" customHeight="1">
      <c r="A924" s="386"/>
      <c r="B924" s="81">
        <v>5</v>
      </c>
      <c r="C924" s="147"/>
      <c r="D924" s="342">
        <v>2013</v>
      </c>
      <c r="E924" s="6">
        <v>17138</v>
      </c>
      <c r="F924" s="4">
        <v>1</v>
      </c>
      <c r="G924" s="337">
        <v>3.2</v>
      </c>
      <c r="H924" s="337">
        <v>6558.3</v>
      </c>
      <c r="I924" s="329">
        <v>0.9</v>
      </c>
      <c r="J924" s="329"/>
      <c r="K924" s="329"/>
      <c r="L924" s="329">
        <v>6.205</v>
      </c>
      <c r="M924" s="329"/>
      <c r="N924" s="329"/>
    </row>
    <row r="925" spans="1:14" ht="11.25" customHeight="1">
      <c r="A925" s="386"/>
      <c r="B925" s="81"/>
      <c r="C925" s="147"/>
      <c r="D925" s="343"/>
      <c r="E925" s="6">
        <v>6987</v>
      </c>
      <c r="F925" s="4">
        <v>2</v>
      </c>
      <c r="G925" s="365"/>
      <c r="H925" s="365"/>
      <c r="I925" s="365"/>
      <c r="J925" s="365"/>
      <c r="K925" s="365"/>
      <c r="L925" s="365"/>
      <c r="M925" s="365"/>
      <c r="N925" s="365"/>
    </row>
    <row r="926" spans="1:14" ht="10.5" customHeight="1">
      <c r="A926" s="386"/>
      <c r="B926" s="81"/>
      <c r="C926" s="147"/>
      <c r="D926" s="343"/>
      <c r="E926" s="6">
        <v>3493.5</v>
      </c>
      <c r="F926" s="4" t="s">
        <v>258</v>
      </c>
      <c r="G926" s="365"/>
      <c r="H926" s="365"/>
      <c r="I926" s="365"/>
      <c r="J926" s="365"/>
      <c r="K926" s="365"/>
      <c r="L926" s="365"/>
      <c r="M926" s="365"/>
      <c r="N926" s="365"/>
    </row>
    <row r="927" spans="1:14" ht="11.25" customHeight="1">
      <c r="A927" s="386"/>
      <c r="B927" s="81"/>
      <c r="C927" s="147"/>
      <c r="D927" s="343"/>
      <c r="E927" s="6">
        <v>1520</v>
      </c>
      <c r="F927" s="4">
        <v>3</v>
      </c>
      <c r="G927" s="365"/>
      <c r="H927" s="365"/>
      <c r="I927" s="365"/>
      <c r="J927" s="365"/>
      <c r="K927" s="365"/>
      <c r="L927" s="365"/>
      <c r="M927" s="365"/>
      <c r="N927" s="365"/>
    </row>
    <row r="928" spans="1:14" ht="11.25" customHeight="1">
      <c r="A928" s="386"/>
      <c r="B928" s="81"/>
      <c r="C928" s="147"/>
      <c r="D928" s="343"/>
      <c r="E928" s="6">
        <v>2765</v>
      </c>
      <c r="F928" s="4">
        <v>4</v>
      </c>
      <c r="G928" s="365"/>
      <c r="H928" s="365"/>
      <c r="I928" s="365"/>
      <c r="J928" s="365"/>
      <c r="K928" s="365"/>
      <c r="L928" s="365"/>
      <c r="M928" s="365"/>
      <c r="N928" s="365"/>
    </row>
    <row r="929" spans="1:14" ht="11.25" customHeight="1">
      <c r="A929" s="386"/>
      <c r="B929" s="81"/>
      <c r="C929" s="147"/>
      <c r="D929" s="344"/>
      <c r="E929" s="6">
        <f>E924+E925+E927+E928</f>
        <v>28410</v>
      </c>
      <c r="F929" s="4">
        <v>5</v>
      </c>
      <c r="G929" s="365"/>
      <c r="H929" s="365"/>
      <c r="I929" s="365"/>
      <c r="J929" s="365"/>
      <c r="K929" s="365"/>
      <c r="L929" s="365"/>
      <c r="M929" s="365"/>
      <c r="N929" s="365"/>
    </row>
    <row r="930" spans="1:14" ht="11.25" customHeight="1">
      <c r="A930" s="386"/>
      <c r="B930" s="81">
        <v>6</v>
      </c>
      <c r="C930" s="147"/>
      <c r="D930" s="342">
        <v>2014</v>
      </c>
      <c r="E930" s="6">
        <v>21280</v>
      </c>
      <c r="F930" s="4">
        <v>1</v>
      </c>
      <c r="G930" s="337">
        <v>5.87</v>
      </c>
      <c r="H930" s="337">
        <v>9893.53</v>
      </c>
      <c r="I930" s="329">
        <v>4.208</v>
      </c>
      <c r="J930" s="329"/>
      <c r="K930" s="329"/>
      <c r="L930" s="329">
        <v>2.829</v>
      </c>
      <c r="M930" s="329"/>
      <c r="N930" s="329"/>
    </row>
    <row r="931" spans="1:14" ht="11.25" customHeight="1">
      <c r="A931" s="386"/>
      <c r="B931" s="81"/>
      <c r="C931" s="147"/>
      <c r="D931" s="343"/>
      <c r="E931" s="6">
        <v>5625</v>
      </c>
      <c r="F931" s="4">
        <v>2</v>
      </c>
      <c r="G931" s="337"/>
      <c r="H931" s="337"/>
      <c r="I931" s="329"/>
      <c r="J931" s="329"/>
      <c r="K931" s="329"/>
      <c r="L931" s="329"/>
      <c r="M931" s="329"/>
      <c r="N931" s="329"/>
    </row>
    <row r="932" spans="1:14" ht="11.25" customHeight="1">
      <c r="A932" s="386"/>
      <c r="B932" s="81"/>
      <c r="C932" s="147"/>
      <c r="D932" s="343"/>
      <c r="E932" s="6">
        <v>2812.5</v>
      </c>
      <c r="F932" s="4" t="s">
        <v>258</v>
      </c>
      <c r="G932" s="337"/>
      <c r="H932" s="337"/>
      <c r="I932" s="329"/>
      <c r="J932" s="329"/>
      <c r="K932" s="329"/>
      <c r="L932" s="329"/>
      <c r="M932" s="329"/>
      <c r="N932" s="329"/>
    </row>
    <row r="933" spans="1:14" ht="11.25" customHeight="1">
      <c r="A933" s="386"/>
      <c r="B933" s="81"/>
      <c r="C933" s="147"/>
      <c r="D933" s="343"/>
      <c r="E933" s="6">
        <v>1172.5</v>
      </c>
      <c r="F933" s="4">
        <v>3</v>
      </c>
      <c r="G933" s="337"/>
      <c r="H933" s="337"/>
      <c r="I933" s="329"/>
      <c r="J933" s="329"/>
      <c r="K933" s="329"/>
      <c r="L933" s="329"/>
      <c r="M933" s="329"/>
      <c r="N933" s="329"/>
    </row>
    <row r="934" spans="1:14" ht="11.25" customHeight="1">
      <c r="A934" s="386"/>
      <c r="B934" s="81"/>
      <c r="C934" s="147"/>
      <c r="D934" s="343"/>
      <c r="E934" s="6">
        <v>1382.5</v>
      </c>
      <c r="F934" s="4">
        <v>4</v>
      </c>
      <c r="G934" s="337"/>
      <c r="H934" s="337"/>
      <c r="I934" s="329"/>
      <c r="J934" s="329"/>
      <c r="K934" s="329"/>
      <c r="L934" s="329"/>
      <c r="M934" s="329"/>
      <c r="N934" s="329"/>
    </row>
    <row r="935" spans="1:14" ht="10.5" customHeight="1">
      <c r="A935" s="386"/>
      <c r="B935" s="81"/>
      <c r="C935" s="147"/>
      <c r="D935" s="344"/>
      <c r="E935" s="6">
        <f>E930+E931+E933+E934</f>
        <v>29460</v>
      </c>
      <c r="F935" s="4">
        <v>5</v>
      </c>
      <c r="G935" s="337"/>
      <c r="H935" s="337"/>
      <c r="I935" s="329"/>
      <c r="J935" s="329"/>
      <c r="K935" s="329"/>
      <c r="L935" s="329"/>
      <c r="M935" s="329"/>
      <c r="N935" s="329"/>
    </row>
    <row r="936" spans="1:14" ht="10.5" customHeight="1">
      <c r="A936" s="386"/>
      <c r="B936" s="34">
        <v>6</v>
      </c>
      <c r="C936" s="378"/>
      <c r="D936" s="704">
        <v>2015</v>
      </c>
      <c r="E936" s="6">
        <v>21280</v>
      </c>
      <c r="F936" s="4">
        <v>1</v>
      </c>
      <c r="G936" s="337">
        <v>5.871</v>
      </c>
      <c r="H936" s="337">
        <v>9893.53</v>
      </c>
      <c r="I936" s="329">
        <v>4.208</v>
      </c>
      <c r="J936" s="329"/>
      <c r="K936" s="329"/>
      <c r="L936" s="329">
        <v>2.829</v>
      </c>
      <c r="M936" s="467"/>
      <c r="N936" s="340"/>
    </row>
    <row r="937" spans="1:14" ht="10.5" customHeight="1">
      <c r="A937" s="386"/>
      <c r="B937" s="34"/>
      <c r="C937" s="378"/>
      <c r="D937" s="668"/>
      <c r="E937" s="6">
        <v>5625</v>
      </c>
      <c r="F937" s="4">
        <v>2</v>
      </c>
      <c r="G937" s="337"/>
      <c r="H937" s="337"/>
      <c r="I937" s="329"/>
      <c r="J937" s="329"/>
      <c r="K937" s="329"/>
      <c r="L937" s="329"/>
      <c r="M937" s="467"/>
      <c r="N937" s="340"/>
    </row>
    <row r="938" spans="1:14" ht="10.5" customHeight="1">
      <c r="A938" s="386"/>
      <c r="B938" s="34"/>
      <c r="C938" s="378"/>
      <c r="D938" s="668"/>
      <c r="E938" s="6">
        <v>2812.5</v>
      </c>
      <c r="F938" s="4" t="s">
        <v>258</v>
      </c>
      <c r="G938" s="337"/>
      <c r="H938" s="337"/>
      <c r="I938" s="329"/>
      <c r="J938" s="329"/>
      <c r="K938" s="329"/>
      <c r="L938" s="329"/>
      <c r="M938" s="467"/>
      <c r="N938" s="340"/>
    </row>
    <row r="939" spans="1:14" ht="10.5" customHeight="1">
      <c r="A939" s="386"/>
      <c r="B939" s="34"/>
      <c r="C939" s="378"/>
      <c r="D939" s="668"/>
      <c r="E939" s="6">
        <v>1172.5</v>
      </c>
      <c r="F939" s="4">
        <v>3</v>
      </c>
      <c r="G939" s="337"/>
      <c r="H939" s="337"/>
      <c r="I939" s="329"/>
      <c r="J939" s="329"/>
      <c r="K939" s="329"/>
      <c r="L939" s="329"/>
      <c r="M939" s="467"/>
      <c r="N939" s="340"/>
    </row>
    <row r="940" spans="1:14" ht="9.75" customHeight="1">
      <c r="A940" s="386"/>
      <c r="B940" s="34"/>
      <c r="C940" s="378"/>
      <c r="D940" s="668"/>
      <c r="E940" s="6">
        <v>1382.5</v>
      </c>
      <c r="F940" s="4">
        <v>4</v>
      </c>
      <c r="G940" s="337"/>
      <c r="H940" s="337"/>
      <c r="I940" s="329"/>
      <c r="J940" s="329"/>
      <c r="K940" s="329"/>
      <c r="L940" s="329"/>
      <c r="M940" s="467"/>
      <c r="N940" s="340"/>
    </row>
    <row r="941" spans="1:14" ht="10.5" customHeight="1">
      <c r="A941" s="387"/>
      <c r="B941" s="34"/>
      <c r="C941" s="378"/>
      <c r="D941" s="669"/>
      <c r="E941" s="6">
        <f>E936+E937+E939+E940</f>
        <v>29460</v>
      </c>
      <c r="F941" s="4">
        <v>5</v>
      </c>
      <c r="G941" s="337"/>
      <c r="H941" s="337"/>
      <c r="I941" s="329"/>
      <c r="J941" s="329"/>
      <c r="K941" s="329"/>
      <c r="L941" s="329"/>
      <c r="M941" s="467"/>
      <c r="N941" s="340"/>
    </row>
    <row r="942" spans="1:14" ht="10.5" customHeight="1">
      <c r="A942" s="168">
        <v>121</v>
      </c>
      <c r="B942" s="395" t="s">
        <v>416</v>
      </c>
      <c r="C942" s="145" t="s">
        <v>13</v>
      </c>
      <c r="D942" s="320" t="s">
        <v>120</v>
      </c>
      <c r="E942" s="78">
        <v>15936.9</v>
      </c>
      <c r="F942" s="125">
        <v>1</v>
      </c>
      <c r="G942" s="337">
        <f>SUM(G948:G977)</f>
        <v>26.28</v>
      </c>
      <c r="H942" s="337">
        <f>SUM(H948:H977)</f>
        <v>33991.130000000005</v>
      </c>
      <c r="I942" s="329">
        <f>SUM(I948:I977)</f>
        <v>22.645</v>
      </c>
      <c r="J942" s="329"/>
      <c r="K942" s="329"/>
      <c r="L942" s="329"/>
      <c r="M942" s="329"/>
      <c r="N942" s="329"/>
    </row>
    <row r="943" spans="1:14" ht="11.25" customHeight="1">
      <c r="A943" s="169"/>
      <c r="B943" s="396"/>
      <c r="C943" s="147"/>
      <c r="D943" s="321"/>
      <c r="E943" s="78">
        <v>7798.16</v>
      </c>
      <c r="F943" s="125">
        <v>2</v>
      </c>
      <c r="G943" s="337"/>
      <c r="H943" s="337"/>
      <c r="I943" s="329"/>
      <c r="J943" s="329"/>
      <c r="K943" s="329"/>
      <c r="L943" s="329"/>
      <c r="M943" s="329"/>
      <c r="N943" s="329"/>
    </row>
    <row r="944" spans="1:14" ht="10.5" customHeight="1">
      <c r="A944" s="169"/>
      <c r="B944" s="396"/>
      <c r="C944" s="147"/>
      <c r="D944" s="321"/>
      <c r="E944" s="78">
        <v>3899.08</v>
      </c>
      <c r="F944" s="125" t="s">
        <v>258</v>
      </c>
      <c r="G944" s="337"/>
      <c r="H944" s="337"/>
      <c r="I944" s="329"/>
      <c r="J944" s="329"/>
      <c r="K944" s="329"/>
      <c r="L944" s="329"/>
      <c r="M944" s="329"/>
      <c r="N944" s="329"/>
    </row>
    <row r="945" spans="1:14" ht="10.5" customHeight="1">
      <c r="A945" s="169"/>
      <c r="B945" s="396"/>
      <c r="C945" s="147"/>
      <c r="D945" s="321"/>
      <c r="E945" s="78">
        <v>14886.5</v>
      </c>
      <c r="F945" s="125">
        <v>3</v>
      </c>
      <c r="G945" s="337"/>
      <c r="H945" s="337"/>
      <c r="I945" s="329"/>
      <c r="J945" s="329"/>
      <c r="K945" s="329"/>
      <c r="L945" s="329"/>
      <c r="M945" s="329"/>
      <c r="N945" s="329"/>
    </row>
    <row r="946" spans="1:14" ht="10.5" customHeight="1">
      <c r="A946" s="169"/>
      <c r="B946" s="396"/>
      <c r="C946" s="147"/>
      <c r="D946" s="321"/>
      <c r="E946" s="78">
        <v>8400</v>
      </c>
      <c r="F946" s="125">
        <v>4</v>
      </c>
      <c r="G946" s="337"/>
      <c r="H946" s="337"/>
      <c r="I946" s="329"/>
      <c r="J946" s="329"/>
      <c r="K946" s="329"/>
      <c r="L946" s="329"/>
      <c r="M946" s="329"/>
      <c r="N946" s="329"/>
    </row>
    <row r="947" spans="1:14" ht="10.5" customHeight="1">
      <c r="A947" s="169"/>
      <c r="B947" s="396"/>
      <c r="C947" s="147"/>
      <c r="D947" s="321"/>
      <c r="E947" s="78">
        <f>E942+E943+E945+E946</f>
        <v>47021.56</v>
      </c>
      <c r="F947" s="125">
        <v>5</v>
      </c>
      <c r="G947" s="337"/>
      <c r="H947" s="337"/>
      <c r="I947" s="329"/>
      <c r="J947" s="329"/>
      <c r="K947" s="329"/>
      <c r="L947" s="329"/>
      <c r="M947" s="329"/>
      <c r="N947" s="329"/>
    </row>
    <row r="948" spans="1:14" ht="10.5" customHeight="1">
      <c r="A948" s="169"/>
      <c r="B948" s="81">
        <v>49</v>
      </c>
      <c r="C948" s="147"/>
      <c r="D948" s="318">
        <v>2011</v>
      </c>
      <c r="E948" s="78">
        <v>5140.9</v>
      </c>
      <c r="F948" s="125">
        <v>1</v>
      </c>
      <c r="G948" s="337">
        <v>8.31</v>
      </c>
      <c r="H948" s="337">
        <v>10525.01</v>
      </c>
      <c r="I948" s="329">
        <v>7.155</v>
      </c>
      <c r="J948" s="329"/>
      <c r="K948" s="329"/>
      <c r="L948" s="329"/>
      <c r="M948" s="329"/>
      <c r="N948" s="329"/>
    </row>
    <row r="949" spans="1:14" ht="10.5" customHeight="1">
      <c r="A949" s="169"/>
      <c r="B949" s="81"/>
      <c r="C949" s="147"/>
      <c r="D949" s="319"/>
      <c r="E949" s="78">
        <v>2425.9</v>
      </c>
      <c r="F949" s="125">
        <v>2</v>
      </c>
      <c r="G949" s="337"/>
      <c r="H949" s="337"/>
      <c r="I949" s="329"/>
      <c r="J949" s="329"/>
      <c r="K949" s="329"/>
      <c r="L949" s="329"/>
      <c r="M949" s="329"/>
      <c r="N949" s="329"/>
    </row>
    <row r="950" spans="1:14" ht="10.5" customHeight="1">
      <c r="A950" s="169"/>
      <c r="B950" s="81"/>
      <c r="C950" s="147"/>
      <c r="D950" s="319"/>
      <c r="E950" s="78">
        <v>1212.95</v>
      </c>
      <c r="F950" s="125" t="s">
        <v>258</v>
      </c>
      <c r="G950" s="337"/>
      <c r="H950" s="337"/>
      <c r="I950" s="329"/>
      <c r="J950" s="329"/>
      <c r="K950" s="329"/>
      <c r="L950" s="329"/>
      <c r="M950" s="329"/>
      <c r="N950" s="329"/>
    </row>
    <row r="951" spans="1:14" ht="10.5" customHeight="1">
      <c r="A951" s="169"/>
      <c r="B951" s="81"/>
      <c r="C951" s="147"/>
      <c r="D951" s="319"/>
      <c r="E951" s="78">
        <v>2542</v>
      </c>
      <c r="F951" s="125">
        <v>3</v>
      </c>
      <c r="G951" s="337"/>
      <c r="H951" s="337"/>
      <c r="I951" s="329"/>
      <c r="J951" s="329"/>
      <c r="K951" s="329"/>
      <c r="L951" s="329"/>
      <c r="M951" s="329"/>
      <c r="N951" s="329"/>
    </row>
    <row r="952" spans="1:14" ht="10.5" customHeight="1">
      <c r="A952" s="169"/>
      <c r="B952" s="81"/>
      <c r="C952" s="147"/>
      <c r="D952" s="319"/>
      <c r="E952" s="78">
        <v>2415</v>
      </c>
      <c r="F952" s="125">
        <v>4</v>
      </c>
      <c r="G952" s="337"/>
      <c r="H952" s="337"/>
      <c r="I952" s="329"/>
      <c r="J952" s="329"/>
      <c r="K952" s="329"/>
      <c r="L952" s="329"/>
      <c r="M952" s="329"/>
      <c r="N952" s="329"/>
    </row>
    <row r="953" spans="1:14" ht="10.5" customHeight="1">
      <c r="A953" s="170"/>
      <c r="B953" s="162"/>
      <c r="C953" s="149"/>
      <c r="D953" s="319"/>
      <c r="E953" s="78">
        <f>E948+E949+E951+E952</f>
        <v>12523.8</v>
      </c>
      <c r="F953" s="125">
        <v>5</v>
      </c>
      <c r="G953" s="337"/>
      <c r="H953" s="337"/>
      <c r="I953" s="329"/>
      <c r="J953" s="329"/>
      <c r="K953" s="329"/>
      <c r="L953" s="329"/>
      <c r="M953" s="329"/>
      <c r="N953" s="329"/>
    </row>
    <row r="954" spans="1:14" ht="10.5" customHeight="1">
      <c r="A954" s="152"/>
      <c r="B954" s="18">
        <v>47</v>
      </c>
      <c r="C954" s="18"/>
      <c r="D954" s="318">
        <v>2012</v>
      </c>
      <c r="E954" s="78">
        <v>5128</v>
      </c>
      <c r="F954" s="125">
        <v>1</v>
      </c>
      <c r="G954" s="337">
        <v>7.02</v>
      </c>
      <c r="H954" s="337">
        <v>9171.06</v>
      </c>
      <c r="I954" s="329">
        <v>6.054</v>
      </c>
      <c r="J954" s="329"/>
      <c r="K954" s="329"/>
      <c r="L954" s="329"/>
      <c r="M954" s="329"/>
      <c r="N954" s="329"/>
    </row>
    <row r="955" spans="1:14" ht="11.25" customHeight="1">
      <c r="A955" s="171"/>
      <c r="B955" s="81"/>
      <c r="C955" s="81"/>
      <c r="D955" s="319"/>
      <c r="E955" s="78">
        <v>2565</v>
      </c>
      <c r="F955" s="125">
        <v>2</v>
      </c>
      <c r="G955" s="337"/>
      <c r="H955" s="337"/>
      <c r="I955" s="329"/>
      <c r="J955" s="329"/>
      <c r="K955" s="329"/>
      <c r="L955" s="329"/>
      <c r="M955" s="329"/>
      <c r="N955" s="329"/>
    </row>
    <row r="956" spans="1:14" ht="11.25" customHeight="1">
      <c r="A956" s="171"/>
      <c r="B956" s="81"/>
      <c r="C956" s="81"/>
      <c r="D956" s="319"/>
      <c r="E956" s="78">
        <v>1282.5</v>
      </c>
      <c r="F956" s="125" t="s">
        <v>258</v>
      </c>
      <c r="G956" s="337"/>
      <c r="H956" s="337"/>
      <c r="I956" s="329"/>
      <c r="J956" s="329"/>
      <c r="K956" s="329"/>
      <c r="L956" s="329"/>
      <c r="M956" s="329"/>
      <c r="N956" s="329"/>
    </row>
    <row r="957" spans="1:14" ht="11.25" customHeight="1">
      <c r="A957" s="171"/>
      <c r="B957" s="81"/>
      <c r="C957" s="81"/>
      <c r="D957" s="319"/>
      <c r="E957" s="78">
        <v>2509</v>
      </c>
      <c r="F957" s="125">
        <v>3</v>
      </c>
      <c r="G957" s="337"/>
      <c r="H957" s="337"/>
      <c r="I957" s="329"/>
      <c r="J957" s="329"/>
      <c r="K957" s="329"/>
      <c r="L957" s="329"/>
      <c r="M957" s="329"/>
      <c r="N957" s="329"/>
    </row>
    <row r="958" spans="1:14" ht="11.25" customHeight="1">
      <c r="A958" s="171"/>
      <c r="B958" s="81"/>
      <c r="C958" s="81"/>
      <c r="D958" s="319"/>
      <c r="E958" s="78">
        <v>2310</v>
      </c>
      <c r="F958" s="125">
        <v>4</v>
      </c>
      <c r="G958" s="337"/>
      <c r="H958" s="337"/>
      <c r="I958" s="329"/>
      <c r="J958" s="329"/>
      <c r="K958" s="329"/>
      <c r="L958" s="329"/>
      <c r="M958" s="329"/>
      <c r="N958" s="329"/>
    </row>
    <row r="959" spans="1:14" ht="11.25" customHeight="1">
      <c r="A959" s="171"/>
      <c r="B959" s="81"/>
      <c r="C959" s="81"/>
      <c r="D959" s="319"/>
      <c r="E959" s="78">
        <f>E954+E955+E957+E958</f>
        <v>12512</v>
      </c>
      <c r="F959" s="125">
        <v>5</v>
      </c>
      <c r="G959" s="337"/>
      <c r="H959" s="337"/>
      <c r="I959" s="329"/>
      <c r="J959" s="329"/>
      <c r="K959" s="329"/>
      <c r="L959" s="329"/>
      <c r="M959" s="329"/>
      <c r="N959" s="329"/>
    </row>
    <row r="960" spans="1:14" ht="11.25" customHeight="1">
      <c r="A960" s="171"/>
      <c r="B960" s="81">
        <v>28</v>
      </c>
      <c r="C960" s="81"/>
      <c r="D960" s="318">
        <v>2013</v>
      </c>
      <c r="E960" s="78">
        <v>2884</v>
      </c>
      <c r="F960" s="125">
        <v>1</v>
      </c>
      <c r="G960" s="337">
        <v>4.17</v>
      </c>
      <c r="H960" s="337">
        <v>5442.7</v>
      </c>
      <c r="I960" s="329">
        <v>3.586</v>
      </c>
      <c r="J960" s="329"/>
      <c r="K960" s="329"/>
      <c r="L960" s="329"/>
      <c r="M960" s="329"/>
      <c r="N960" s="329"/>
    </row>
    <row r="961" spans="1:14" ht="10.5" customHeight="1">
      <c r="A961" s="171"/>
      <c r="B961" s="81"/>
      <c r="C961" s="81"/>
      <c r="D961" s="319"/>
      <c r="E961" s="78">
        <v>1478.26</v>
      </c>
      <c r="F961" s="125">
        <v>2</v>
      </c>
      <c r="G961" s="337"/>
      <c r="H961" s="337"/>
      <c r="I961" s="329"/>
      <c r="J961" s="329"/>
      <c r="K961" s="329"/>
      <c r="L961" s="329"/>
      <c r="M961" s="329"/>
      <c r="N961" s="329"/>
    </row>
    <row r="962" spans="1:14" ht="10.5" customHeight="1">
      <c r="A962" s="171"/>
      <c r="B962" s="81"/>
      <c r="C962" s="81"/>
      <c r="D962" s="319"/>
      <c r="E962" s="78">
        <v>739.13</v>
      </c>
      <c r="F962" s="125" t="s">
        <v>258</v>
      </c>
      <c r="G962" s="337"/>
      <c r="H962" s="337"/>
      <c r="I962" s="329"/>
      <c r="J962" s="329"/>
      <c r="K962" s="329"/>
      <c r="L962" s="329"/>
      <c r="M962" s="329"/>
      <c r="N962" s="329"/>
    </row>
    <row r="963" spans="1:14" ht="11.25" customHeight="1">
      <c r="A963" s="171"/>
      <c r="B963" s="81"/>
      <c r="C963" s="81"/>
      <c r="D963" s="319"/>
      <c r="E963" s="78">
        <v>3478.5</v>
      </c>
      <c r="F963" s="125">
        <v>3</v>
      </c>
      <c r="G963" s="337"/>
      <c r="H963" s="337"/>
      <c r="I963" s="329"/>
      <c r="J963" s="329"/>
      <c r="K963" s="329"/>
      <c r="L963" s="329"/>
      <c r="M963" s="329"/>
      <c r="N963" s="329"/>
    </row>
    <row r="964" spans="1:14" ht="12" customHeight="1">
      <c r="A964" s="171"/>
      <c r="B964" s="81"/>
      <c r="C964" s="81"/>
      <c r="D964" s="319"/>
      <c r="E964" s="78">
        <v>1365</v>
      </c>
      <c r="F964" s="125">
        <v>4</v>
      </c>
      <c r="G964" s="337"/>
      <c r="H964" s="337"/>
      <c r="I964" s="329"/>
      <c r="J964" s="329"/>
      <c r="K964" s="329"/>
      <c r="L964" s="329"/>
      <c r="M964" s="329"/>
      <c r="N964" s="329"/>
    </row>
    <row r="965" spans="1:14" ht="11.25" customHeight="1">
      <c r="A965" s="171"/>
      <c r="B965" s="81"/>
      <c r="C965" s="81"/>
      <c r="D965" s="319"/>
      <c r="E965" s="78">
        <f>E960+E961+E963+E964</f>
        <v>9205.76</v>
      </c>
      <c r="F965" s="125">
        <v>5</v>
      </c>
      <c r="G965" s="337"/>
      <c r="H965" s="337"/>
      <c r="I965" s="329"/>
      <c r="J965" s="329"/>
      <c r="K965" s="329"/>
      <c r="L965" s="329"/>
      <c r="M965" s="329"/>
      <c r="N965" s="329"/>
    </row>
    <row r="966" spans="1:14" ht="11.25" customHeight="1">
      <c r="A966" s="171"/>
      <c r="B966" s="81">
        <v>22</v>
      </c>
      <c r="C966" s="81"/>
      <c r="D966" s="318">
        <v>2014</v>
      </c>
      <c r="E966" s="78">
        <v>1392</v>
      </c>
      <c r="F966" s="125">
        <v>1</v>
      </c>
      <c r="G966" s="337">
        <v>3.39</v>
      </c>
      <c r="H966" s="337">
        <v>4426.18</v>
      </c>
      <c r="I966" s="329">
        <v>2.925</v>
      </c>
      <c r="J966" s="329"/>
      <c r="K966" s="329"/>
      <c r="L966" s="329"/>
      <c r="M966" s="329"/>
      <c r="N966" s="329"/>
    </row>
    <row r="967" spans="1:14" ht="10.5" customHeight="1">
      <c r="A967" s="171"/>
      <c r="B967" s="81"/>
      <c r="C967" s="81"/>
      <c r="D967" s="321"/>
      <c r="E967" s="78">
        <v>664.5</v>
      </c>
      <c r="F967" s="125">
        <v>2</v>
      </c>
      <c r="G967" s="337"/>
      <c r="H967" s="337"/>
      <c r="I967" s="329"/>
      <c r="J967" s="329"/>
      <c r="K967" s="329"/>
      <c r="L967" s="329"/>
      <c r="M967" s="329"/>
      <c r="N967" s="329"/>
    </row>
    <row r="968" spans="1:14" ht="10.5" customHeight="1">
      <c r="A968" s="171"/>
      <c r="B968" s="81"/>
      <c r="C968" s="81"/>
      <c r="D968" s="321"/>
      <c r="E968" s="78">
        <v>332.25</v>
      </c>
      <c r="F968" s="125" t="s">
        <v>258</v>
      </c>
      <c r="G968" s="337"/>
      <c r="H968" s="337"/>
      <c r="I968" s="329"/>
      <c r="J968" s="329"/>
      <c r="K968" s="329"/>
      <c r="L968" s="329"/>
      <c r="M968" s="329"/>
      <c r="N968" s="329"/>
    </row>
    <row r="969" spans="1:14" ht="10.5" customHeight="1">
      <c r="A969" s="171"/>
      <c r="B969" s="81"/>
      <c r="C969" s="81"/>
      <c r="D969" s="321"/>
      <c r="E969" s="78">
        <v>3178.5</v>
      </c>
      <c r="F969" s="125">
        <v>3</v>
      </c>
      <c r="G969" s="337"/>
      <c r="H969" s="337"/>
      <c r="I969" s="329"/>
      <c r="J969" s="329"/>
      <c r="K969" s="329"/>
      <c r="L969" s="329"/>
      <c r="M969" s="329"/>
      <c r="N969" s="329"/>
    </row>
    <row r="970" spans="1:14" ht="10.5" customHeight="1">
      <c r="A970" s="171"/>
      <c r="B970" s="81"/>
      <c r="C970" s="81"/>
      <c r="D970" s="321"/>
      <c r="E970" s="78">
        <v>1155</v>
      </c>
      <c r="F970" s="125">
        <v>4</v>
      </c>
      <c r="G970" s="337"/>
      <c r="H970" s="337"/>
      <c r="I970" s="329"/>
      <c r="J970" s="329"/>
      <c r="K970" s="329"/>
      <c r="L970" s="329"/>
      <c r="M970" s="329"/>
      <c r="N970" s="329"/>
    </row>
    <row r="971" spans="1:14" ht="10.5" customHeight="1">
      <c r="A971" s="171"/>
      <c r="B971" s="81"/>
      <c r="C971" s="81"/>
      <c r="D971" s="321"/>
      <c r="E971" s="78">
        <f>E966+E967+E969+E970</f>
        <v>6390</v>
      </c>
      <c r="F971" s="125">
        <v>5</v>
      </c>
      <c r="G971" s="337"/>
      <c r="H971" s="337"/>
      <c r="I971" s="329"/>
      <c r="J971" s="329"/>
      <c r="K971" s="329"/>
      <c r="L971" s="329"/>
      <c r="M971" s="329"/>
      <c r="N971" s="329"/>
    </row>
    <row r="972" spans="1:14" ht="10.5" customHeight="1">
      <c r="A972" s="171"/>
      <c r="B972" s="34">
        <v>22</v>
      </c>
      <c r="C972" s="81"/>
      <c r="D972" s="436">
        <v>2015</v>
      </c>
      <c r="E972" s="78">
        <v>1392</v>
      </c>
      <c r="F972" s="125">
        <v>1</v>
      </c>
      <c r="G972" s="337">
        <v>3.39</v>
      </c>
      <c r="H972" s="337">
        <v>4426.18</v>
      </c>
      <c r="I972" s="329">
        <v>2.925</v>
      </c>
      <c r="J972" s="467"/>
      <c r="K972" s="467"/>
      <c r="L972" s="467"/>
      <c r="M972" s="467"/>
      <c r="N972" s="340"/>
    </row>
    <row r="973" spans="1:14" ht="10.5" customHeight="1">
      <c r="A973" s="171"/>
      <c r="B973" s="34"/>
      <c r="C973" s="81"/>
      <c r="D973" s="436"/>
      <c r="E973" s="78">
        <v>664.5</v>
      </c>
      <c r="F973" s="125">
        <v>2</v>
      </c>
      <c r="G973" s="337"/>
      <c r="H973" s="337"/>
      <c r="I973" s="329"/>
      <c r="J973" s="467"/>
      <c r="K973" s="467"/>
      <c r="L973" s="467"/>
      <c r="M973" s="467"/>
      <c r="N973" s="340"/>
    </row>
    <row r="974" spans="1:14" ht="10.5" customHeight="1">
      <c r="A974" s="171"/>
      <c r="B974" s="34"/>
      <c r="C974" s="81"/>
      <c r="D974" s="436"/>
      <c r="E974" s="78">
        <v>332.25</v>
      </c>
      <c r="F974" s="125" t="s">
        <v>258</v>
      </c>
      <c r="G974" s="337"/>
      <c r="H974" s="337"/>
      <c r="I974" s="329"/>
      <c r="J974" s="467"/>
      <c r="K974" s="467"/>
      <c r="L974" s="467"/>
      <c r="M974" s="467"/>
      <c r="N974" s="340"/>
    </row>
    <row r="975" spans="1:14" ht="10.5" customHeight="1">
      <c r="A975" s="171"/>
      <c r="B975" s="34"/>
      <c r="C975" s="81"/>
      <c r="D975" s="436"/>
      <c r="E975" s="78">
        <v>3178.5</v>
      </c>
      <c r="F975" s="125">
        <v>3</v>
      </c>
      <c r="G975" s="337"/>
      <c r="H975" s="337"/>
      <c r="I975" s="329"/>
      <c r="J975" s="467"/>
      <c r="K975" s="467"/>
      <c r="L975" s="467"/>
      <c r="M975" s="467"/>
      <c r="N975" s="340"/>
    </row>
    <row r="976" spans="1:14" ht="10.5" customHeight="1">
      <c r="A976" s="171"/>
      <c r="B976" s="34"/>
      <c r="C976" s="81"/>
      <c r="D976" s="436"/>
      <c r="E976" s="78">
        <v>1155</v>
      </c>
      <c r="F976" s="125">
        <v>4</v>
      </c>
      <c r="G976" s="337"/>
      <c r="H976" s="337"/>
      <c r="I976" s="329"/>
      <c r="J976" s="467"/>
      <c r="K976" s="467"/>
      <c r="L976" s="467"/>
      <c r="M976" s="467"/>
      <c r="N976" s="340"/>
    </row>
    <row r="977" spans="1:14" ht="10.5" customHeight="1">
      <c r="A977" s="172"/>
      <c r="B977" s="34"/>
      <c r="C977" s="162"/>
      <c r="D977" s="436"/>
      <c r="E977" s="78">
        <f>E972+E973+E975+E976</f>
        <v>6390</v>
      </c>
      <c r="F977" s="125">
        <v>5</v>
      </c>
      <c r="G977" s="337"/>
      <c r="H977" s="337"/>
      <c r="I977" s="329"/>
      <c r="J977" s="467"/>
      <c r="K977" s="467"/>
      <c r="L977" s="467"/>
      <c r="M977" s="467"/>
      <c r="N977" s="340"/>
    </row>
    <row r="978" spans="1:14" ht="11.25" customHeight="1">
      <c r="A978" s="430">
        <v>122</v>
      </c>
      <c r="B978" s="395" t="s">
        <v>352</v>
      </c>
      <c r="C978" s="407" t="s">
        <v>14</v>
      </c>
      <c r="D978" s="322" t="s">
        <v>120</v>
      </c>
      <c r="E978" s="135">
        <v>98487.15</v>
      </c>
      <c r="F978" s="125">
        <v>1</v>
      </c>
      <c r="G978" s="337">
        <f>SUM(G984:G1013)</f>
        <v>25.910000000000004</v>
      </c>
      <c r="H978" s="337">
        <f>SUM(H984:H1013)</f>
        <v>38127.54</v>
      </c>
      <c r="I978" s="329">
        <f>SUM(I984:I1013)</f>
        <v>19.676</v>
      </c>
      <c r="J978" s="329"/>
      <c r="K978" s="329"/>
      <c r="L978" s="329">
        <f>SUM(L984:L1013)</f>
        <v>8.550999999999998</v>
      </c>
      <c r="M978" s="329">
        <f>SUM(M984:M1013)</f>
        <v>0.48</v>
      </c>
      <c r="N978" s="329"/>
    </row>
    <row r="979" spans="1:14" ht="11.25" customHeight="1">
      <c r="A979" s="374"/>
      <c r="B979" s="353"/>
      <c r="C979" s="386"/>
      <c r="D979" s="365"/>
      <c r="E979" s="6">
        <v>69718.51</v>
      </c>
      <c r="F979" s="4">
        <v>2</v>
      </c>
      <c r="G979" s="365"/>
      <c r="H979" s="365"/>
      <c r="I979" s="474"/>
      <c r="J979" s="474"/>
      <c r="K979" s="474"/>
      <c r="L979" s="474"/>
      <c r="M979" s="474"/>
      <c r="N979" s="474"/>
    </row>
    <row r="980" spans="1:14" ht="11.25" customHeight="1">
      <c r="A980" s="374"/>
      <c r="B980" s="353"/>
      <c r="C980" s="386"/>
      <c r="D980" s="365"/>
      <c r="E980" s="6">
        <v>41743.21</v>
      </c>
      <c r="F980" s="4" t="s">
        <v>258</v>
      </c>
      <c r="G980" s="365"/>
      <c r="H980" s="365"/>
      <c r="I980" s="474"/>
      <c r="J980" s="474"/>
      <c r="K980" s="474"/>
      <c r="L980" s="474"/>
      <c r="M980" s="474"/>
      <c r="N980" s="474"/>
    </row>
    <row r="981" spans="1:14" ht="11.25" customHeight="1">
      <c r="A981" s="374"/>
      <c r="B981" s="353"/>
      <c r="C981" s="386"/>
      <c r="D981" s="365"/>
      <c r="E981" s="6">
        <v>5771.4</v>
      </c>
      <c r="F981" s="4">
        <v>3</v>
      </c>
      <c r="G981" s="365"/>
      <c r="H981" s="365"/>
      <c r="I981" s="474"/>
      <c r="J981" s="474"/>
      <c r="K981" s="474"/>
      <c r="L981" s="474"/>
      <c r="M981" s="474"/>
      <c r="N981" s="474"/>
    </row>
    <row r="982" spans="1:14" ht="11.25" customHeight="1">
      <c r="A982" s="374"/>
      <c r="B982" s="353"/>
      <c r="C982" s="386"/>
      <c r="D982" s="365"/>
      <c r="E982" s="6">
        <v>26950</v>
      </c>
      <c r="F982" s="4">
        <v>4</v>
      </c>
      <c r="G982" s="365"/>
      <c r="H982" s="365"/>
      <c r="I982" s="474"/>
      <c r="J982" s="474"/>
      <c r="K982" s="474"/>
      <c r="L982" s="474"/>
      <c r="M982" s="474"/>
      <c r="N982" s="474"/>
    </row>
    <row r="983" spans="1:14" ht="11.25" customHeight="1">
      <c r="A983" s="374"/>
      <c r="B983" s="353"/>
      <c r="C983" s="386"/>
      <c r="D983" s="365"/>
      <c r="E983" s="6">
        <f>E978+E979+E981+E982</f>
        <v>200927.05999999997</v>
      </c>
      <c r="F983" s="4">
        <v>5</v>
      </c>
      <c r="G983" s="365"/>
      <c r="H983" s="365"/>
      <c r="I983" s="474"/>
      <c r="J983" s="474"/>
      <c r="K983" s="474"/>
      <c r="L983" s="474"/>
      <c r="M983" s="474"/>
      <c r="N983" s="474"/>
    </row>
    <row r="984" spans="1:14" ht="10.5" customHeight="1">
      <c r="A984" s="374"/>
      <c r="B984" s="81">
        <v>113</v>
      </c>
      <c r="C984" s="386"/>
      <c r="D984" s="435">
        <v>2011</v>
      </c>
      <c r="E984" s="6">
        <v>17523.48</v>
      </c>
      <c r="F984" s="4">
        <v>1</v>
      </c>
      <c r="G984" s="337">
        <v>5.11</v>
      </c>
      <c r="H984" s="337">
        <v>7743.72</v>
      </c>
      <c r="I984" s="329">
        <v>3.799</v>
      </c>
      <c r="J984" s="329"/>
      <c r="K984" s="329"/>
      <c r="L984" s="329">
        <v>1.948</v>
      </c>
      <c r="M984" s="329">
        <v>0.096</v>
      </c>
      <c r="N984" s="329"/>
    </row>
    <row r="985" spans="1:14" ht="10.5" customHeight="1">
      <c r="A985" s="374"/>
      <c r="B985" s="81"/>
      <c r="C985" s="386"/>
      <c r="D985" s="435"/>
      <c r="E985" s="6">
        <v>5192.69</v>
      </c>
      <c r="F985" s="4">
        <v>2</v>
      </c>
      <c r="G985" s="337"/>
      <c r="H985" s="337"/>
      <c r="I985" s="329"/>
      <c r="J985" s="329"/>
      <c r="K985" s="329"/>
      <c r="L985" s="329"/>
      <c r="M985" s="329"/>
      <c r="N985" s="329"/>
    </row>
    <row r="986" spans="1:14" ht="10.5" customHeight="1">
      <c r="A986" s="374"/>
      <c r="B986" s="81"/>
      <c r="C986" s="386"/>
      <c r="D986" s="435"/>
      <c r="E986" s="6">
        <v>2596.35</v>
      </c>
      <c r="F986" s="4" t="s">
        <v>258</v>
      </c>
      <c r="G986" s="337"/>
      <c r="H986" s="337"/>
      <c r="I986" s="329"/>
      <c r="J986" s="329"/>
      <c r="K986" s="329"/>
      <c r="L986" s="329"/>
      <c r="M986" s="329"/>
      <c r="N986" s="329"/>
    </row>
    <row r="987" spans="1:14" ht="9.75" customHeight="1">
      <c r="A987" s="374"/>
      <c r="B987" s="81"/>
      <c r="C987" s="386"/>
      <c r="D987" s="435"/>
      <c r="E987" s="6">
        <v>890</v>
      </c>
      <c r="F987" s="4">
        <v>3</v>
      </c>
      <c r="G987" s="337"/>
      <c r="H987" s="337"/>
      <c r="I987" s="329"/>
      <c r="J987" s="329"/>
      <c r="K987" s="329"/>
      <c r="L987" s="329"/>
      <c r="M987" s="329"/>
      <c r="N987" s="329"/>
    </row>
    <row r="988" spans="1:14" ht="10.5" customHeight="1">
      <c r="A988" s="374"/>
      <c r="B988" s="81"/>
      <c r="C988" s="386"/>
      <c r="D988" s="435"/>
      <c r="E988" s="6">
        <v>5250</v>
      </c>
      <c r="F988" s="4">
        <v>4</v>
      </c>
      <c r="G988" s="337"/>
      <c r="H988" s="337"/>
      <c r="I988" s="329"/>
      <c r="J988" s="329"/>
      <c r="K988" s="329"/>
      <c r="L988" s="329"/>
      <c r="M988" s="329"/>
      <c r="N988" s="329"/>
    </row>
    <row r="989" spans="1:14" ht="10.5" customHeight="1">
      <c r="A989" s="374"/>
      <c r="B989" s="81"/>
      <c r="C989" s="386"/>
      <c r="D989" s="435"/>
      <c r="E989" s="6">
        <f>E984+E985+E987+E988</f>
        <v>28856.17</v>
      </c>
      <c r="F989" s="4">
        <v>5</v>
      </c>
      <c r="G989" s="337"/>
      <c r="H989" s="337"/>
      <c r="I989" s="329"/>
      <c r="J989" s="329"/>
      <c r="K989" s="329"/>
      <c r="L989" s="329"/>
      <c r="M989" s="329"/>
      <c r="N989" s="329"/>
    </row>
    <row r="990" spans="1:14" ht="9.75" customHeight="1">
      <c r="A990" s="374"/>
      <c r="B990" s="81">
        <v>113</v>
      </c>
      <c r="C990" s="386"/>
      <c r="D990" s="435">
        <v>2012</v>
      </c>
      <c r="E990" s="6">
        <v>17663.48</v>
      </c>
      <c r="F990" s="4">
        <v>1</v>
      </c>
      <c r="G990" s="337">
        <v>6.16</v>
      </c>
      <c r="H990" s="337">
        <v>8917.88</v>
      </c>
      <c r="I990" s="329">
        <v>4.727</v>
      </c>
      <c r="J990" s="329"/>
      <c r="K990" s="329"/>
      <c r="L990" s="329">
        <v>1.865</v>
      </c>
      <c r="M990" s="329">
        <v>0.096</v>
      </c>
      <c r="N990" s="329"/>
    </row>
    <row r="991" spans="1:14" ht="10.5" customHeight="1">
      <c r="A991" s="374"/>
      <c r="B991" s="81"/>
      <c r="C991" s="386"/>
      <c r="D991" s="418"/>
      <c r="E991" s="6">
        <v>5252.69</v>
      </c>
      <c r="F991" s="4">
        <v>2</v>
      </c>
      <c r="G991" s="337"/>
      <c r="H991" s="337"/>
      <c r="I991" s="329"/>
      <c r="J991" s="329"/>
      <c r="K991" s="329"/>
      <c r="L991" s="329"/>
      <c r="M991" s="329"/>
      <c r="N991" s="329"/>
    </row>
    <row r="992" spans="1:14" ht="10.5" customHeight="1">
      <c r="A992" s="374"/>
      <c r="B992" s="81"/>
      <c r="C992" s="386"/>
      <c r="D992" s="418"/>
      <c r="E992" s="6">
        <v>2626.35</v>
      </c>
      <c r="F992" s="4" t="s">
        <v>258</v>
      </c>
      <c r="G992" s="337"/>
      <c r="H992" s="337"/>
      <c r="I992" s="329"/>
      <c r="J992" s="329"/>
      <c r="K992" s="329"/>
      <c r="L992" s="329"/>
      <c r="M992" s="329"/>
      <c r="N992" s="329"/>
    </row>
    <row r="993" spans="1:14" ht="10.5" customHeight="1">
      <c r="A993" s="374"/>
      <c r="B993" s="81"/>
      <c r="C993" s="386"/>
      <c r="D993" s="418"/>
      <c r="E993" s="6">
        <v>910</v>
      </c>
      <c r="F993" s="4">
        <v>3</v>
      </c>
      <c r="G993" s="337"/>
      <c r="H993" s="337"/>
      <c r="I993" s="329"/>
      <c r="J993" s="329"/>
      <c r="K993" s="329"/>
      <c r="L993" s="329"/>
      <c r="M993" s="329"/>
      <c r="N993" s="329"/>
    </row>
    <row r="994" spans="1:14" ht="10.5" customHeight="1">
      <c r="A994" s="374"/>
      <c r="B994" s="81"/>
      <c r="C994" s="386"/>
      <c r="D994" s="418"/>
      <c r="E994" s="6">
        <v>5250</v>
      </c>
      <c r="F994" s="4">
        <v>4</v>
      </c>
      <c r="G994" s="337"/>
      <c r="H994" s="337"/>
      <c r="I994" s="329"/>
      <c r="J994" s="329"/>
      <c r="K994" s="329"/>
      <c r="L994" s="329"/>
      <c r="M994" s="329"/>
      <c r="N994" s="329"/>
    </row>
    <row r="995" spans="1:14" ht="10.5" customHeight="1">
      <c r="A995" s="374"/>
      <c r="B995" s="81"/>
      <c r="C995" s="386"/>
      <c r="D995" s="418"/>
      <c r="E995" s="6">
        <f>E990+E991+E993+E994</f>
        <v>29076.17</v>
      </c>
      <c r="F995" s="4">
        <v>5</v>
      </c>
      <c r="G995" s="337"/>
      <c r="H995" s="337"/>
      <c r="I995" s="329"/>
      <c r="J995" s="329"/>
      <c r="K995" s="329"/>
      <c r="L995" s="329"/>
      <c r="M995" s="329"/>
      <c r="N995" s="329"/>
    </row>
    <row r="996" spans="1:14" ht="9.75" customHeight="1">
      <c r="A996" s="374"/>
      <c r="B996" s="81">
        <v>107</v>
      </c>
      <c r="C996" s="386"/>
      <c r="D996" s="435">
        <v>2013</v>
      </c>
      <c r="E996" s="6">
        <v>21426.18</v>
      </c>
      <c r="F996" s="4">
        <v>1</v>
      </c>
      <c r="G996" s="337">
        <v>5.3</v>
      </c>
      <c r="H996" s="337">
        <v>7125.04</v>
      </c>
      <c r="I996" s="329">
        <v>4.064</v>
      </c>
      <c r="J996" s="329"/>
      <c r="K996" s="329"/>
      <c r="L996" s="329">
        <v>1.608</v>
      </c>
      <c r="M996" s="329">
        <v>0.096</v>
      </c>
      <c r="N996" s="329"/>
    </row>
    <row r="997" spans="1:14" ht="10.5" customHeight="1">
      <c r="A997" s="374"/>
      <c r="B997" s="81"/>
      <c r="C997" s="386"/>
      <c r="D997" s="435"/>
      <c r="E997" s="6">
        <v>5777.99</v>
      </c>
      <c r="F997" s="4">
        <v>2</v>
      </c>
      <c r="G997" s="337"/>
      <c r="H997" s="337"/>
      <c r="I997" s="329"/>
      <c r="J997" s="329"/>
      <c r="K997" s="329"/>
      <c r="L997" s="329"/>
      <c r="M997" s="329"/>
      <c r="N997" s="329"/>
    </row>
    <row r="998" spans="1:14" ht="10.5" customHeight="1">
      <c r="A998" s="374"/>
      <c r="B998" s="81"/>
      <c r="C998" s="386"/>
      <c r="D998" s="435"/>
      <c r="E998" s="6">
        <v>2889</v>
      </c>
      <c r="F998" s="4" t="s">
        <v>258</v>
      </c>
      <c r="G998" s="337"/>
      <c r="H998" s="337"/>
      <c r="I998" s="329"/>
      <c r="J998" s="329"/>
      <c r="K998" s="329"/>
      <c r="L998" s="329"/>
      <c r="M998" s="329"/>
      <c r="N998" s="329"/>
    </row>
    <row r="999" spans="1:14" ht="10.5" customHeight="1">
      <c r="A999" s="374"/>
      <c r="B999" s="81"/>
      <c r="C999" s="386"/>
      <c r="D999" s="435"/>
      <c r="E999" s="6">
        <v>890</v>
      </c>
      <c r="F999" s="4">
        <v>3</v>
      </c>
      <c r="G999" s="337"/>
      <c r="H999" s="337"/>
      <c r="I999" s="329"/>
      <c r="J999" s="329"/>
      <c r="K999" s="329"/>
      <c r="L999" s="329"/>
      <c r="M999" s="329"/>
      <c r="N999" s="329"/>
    </row>
    <row r="1000" spans="1:14" ht="10.5" customHeight="1">
      <c r="A1000" s="374"/>
      <c r="B1000" s="81"/>
      <c r="C1000" s="386"/>
      <c r="D1000" s="435"/>
      <c r="E1000" s="6">
        <v>5250</v>
      </c>
      <c r="F1000" s="4">
        <v>4</v>
      </c>
      <c r="G1000" s="337"/>
      <c r="H1000" s="337"/>
      <c r="I1000" s="329"/>
      <c r="J1000" s="329"/>
      <c r="K1000" s="329"/>
      <c r="L1000" s="329"/>
      <c r="M1000" s="329"/>
      <c r="N1000" s="329"/>
    </row>
    <row r="1001" spans="1:14" ht="10.5" customHeight="1">
      <c r="A1001" s="374"/>
      <c r="B1001" s="81"/>
      <c r="C1001" s="386"/>
      <c r="D1001" s="435"/>
      <c r="E1001" s="6">
        <f>E996+E997+E999+E1000</f>
        <v>33344.17</v>
      </c>
      <c r="F1001" s="4">
        <v>5</v>
      </c>
      <c r="G1001" s="337"/>
      <c r="H1001" s="337"/>
      <c r="I1001" s="329"/>
      <c r="J1001" s="329"/>
      <c r="K1001" s="329"/>
      <c r="L1001" s="329"/>
      <c r="M1001" s="329"/>
      <c r="N1001" s="329"/>
    </row>
    <row r="1002" spans="1:14" ht="11.25" customHeight="1">
      <c r="A1002" s="374"/>
      <c r="B1002" s="81">
        <v>109</v>
      </c>
      <c r="C1002" s="386"/>
      <c r="D1002" s="435">
        <v>2014</v>
      </c>
      <c r="E1002" s="6">
        <v>14387.88</v>
      </c>
      <c r="F1002" s="4">
        <v>1</v>
      </c>
      <c r="G1002" s="337">
        <v>4.67</v>
      </c>
      <c r="H1002" s="337">
        <v>7170.45</v>
      </c>
      <c r="I1002" s="329">
        <v>3.543</v>
      </c>
      <c r="J1002" s="329"/>
      <c r="K1002" s="329"/>
      <c r="L1002" s="329">
        <v>1.565</v>
      </c>
      <c r="M1002" s="329">
        <v>0.096</v>
      </c>
      <c r="N1002" s="329"/>
    </row>
    <row r="1003" spans="1:14" ht="10.5" customHeight="1">
      <c r="A1003" s="374"/>
      <c r="B1003" s="81"/>
      <c r="C1003" s="386"/>
      <c r="D1003" s="418"/>
      <c r="E1003" s="6">
        <v>4589.29</v>
      </c>
      <c r="F1003" s="4">
        <v>2</v>
      </c>
      <c r="G1003" s="337"/>
      <c r="H1003" s="337"/>
      <c r="I1003" s="329"/>
      <c r="J1003" s="329"/>
      <c r="K1003" s="329"/>
      <c r="L1003" s="329"/>
      <c r="M1003" s="329"/>
      <c r="N1003" s="329"/>
    </row>
    <row r="1004" spans="1:14" ht="10.5" customHeight="1">
      <c r="A1004" s="374"/>
      <c r="B1004" s="81"/>
      <c r="C1004" s="386"/>
      <c r="D1004" s="418"/>
      <c r="E1004" s="6">
        <v>9178.58</v>
      </c>
      <c r="F1004" s="4" t="s">
        <v>258</v>
      </c>
      <c r="G1004" s="337"/>
      <c r="H1004" s="337"/>
      <c r="I1004" s="329"/>
      <c r="J1004" s="329"/>
      <c r="K1004" s="329"/>
      <c r="L1004" s="329"/>
      <c r="M1004" s="329"/>
      <c r="N1004" s="329"/>
    </row>
    <row r="1005" spans="1:14" ht="10.5" customHeight="1">
      <c r="A1005" s="374"/>
      <c r="B1005" s="81"/>
      <c r="C1005" s="386"/>
      <c r="D1005" s="418"/>
      <c r="E1005" s="6">
        <v>2230</v>
      </c>
      <c r="F1005" s="4">
        <v>3</v>
      </c>
      <c r="G1005" s="337"/>
      <c r="H1005" s="337"/>
      <c r="I1005" s="329"/>
      <c r="J1005" s="329"/>
      <c r="K1005" s="329"/>
      <c r="L1005" s="329"/>
      <c r="M1005" s="329"/>
      <c r="N1005" s="329"/>
    </row>
    <row r="1006" spans="1:14" ht="10.5" customHeight="1">
      <c r="A1006" s="374"/>
      <c r="B1006" s="81"/>
      <c r="C1006" s="386"/>
      <c r="D1006" s="418"/>
      <c r="E1006" s="6">
        <v>5600</v>
      </c>
      <c r="F1006" s="4">
        <v>4</v>
      </c>
      <c r="G1006" s="337"/>
      <c r="H1006" s="337"/>
      <c r="I1006" s="329"/>
      <c r="J1006" s="329"/>
      <c r="K1006" s="329"/>
      <c r="L1006" s="329"/>
      <c r="M1006" s="329"/>
      <c r="N1006" s="329"/>
    </row>
    <row r="1007" spans="1:14" ht="10.5" customHeight="1">
      <c r="A1007" s="374"/>
      <c r="B1007" s="162"/>
      <c r="C1007" s="387"/>
      <c r="D1007" s="418"/>
      <c r="E1007" s="6">
        <f>E1002+E1003+E1005+E1006</f>
        <v>26807.17</v>
      </c>
      <c r="F1007" s="4">
        <v>5</v>
      </c>
      <c r="G1007" s="337"/>
      <c r="H1007" s="337"/>
      <c r="I1007" s="329"/>
      <c r="J1007" s="329"/>
      <c r="K1007" s="329"/>
      <c r="L1007" s="329"/>
      <c r="M1007" s="329"/>
      <c r="N1007" s="329"/>
    </row>
    <row r="1008" spans="1:14" ht="10.5" customHeight="1">
      <c r="A1008" s="163"/>
      <c r="B1008" s="32">
        <v>109</v>
      </c>
      <c r="C1008" s="163"/>
      <c r="D1008" s="417">
        <v>2015</v>
      </c>
      <c r="E1008" s="6">
        <v>27486.13</v>
      </c>
      <c r="F1008" s="4">
        <v>1</v>
      </c>
      <c r="G1008" s="337">
        <v>4.67</v>
      </c>
      <c r="H1008" s="337">
        <v>7170.45</v>
      </c>
      <c r="I1008" s="329">
        <v>3.543</v>
      </c>
      <c r="J1008" s="329"/>
      <c r="K1008" s="329"/>
      <c r="L1008" s="329">
        <v>1.565</v>
      </c>
      <c r="M1008" s="329">
        <v>0.096</v>
      </c>
      <c r="N1008" s="340"/>
    </row>
    <row r="1009" spans="1:14" ht="10.5" customHeight="1">
      <c r="A1009" s="128"/>
      <c r="B1009" s="34"/>
      <c r="C1009" s="128"/>
      <c r="D1009" s="417"/>
      <c r="E1009" s="6">
        <v>48905.85</v>
      </c>
      <c r="F1009" s="4">
        <v>2</v>
      </c>
      <c r="G1009" s="337"/>
      <c r="H1009" s="337"/>
      <c r="I1009" s="329"/>
      <c r="J1009" s="329"/>
      <c r="K1009" s="329"/>
      <c r="L1009" s="329"/>
      <c r="M1009" s="329"/>
      <c r="N1009" s="340"/>
    </row>
    <row r="1010" spans="1:14" ht="10.5" customHeight="1">
      <c r="A1010" s="128"/>
      <c r="B1010" s="34"/>
      <c r="C1010" s="128"/>
      <c r="D1010" s="417"/>
      <c r="E1010" s="6">
        <v>24452.93</v>
      </c>
      <c r="F1010" s="4" t="s">
        <v>258</v>
      </c>
      <c r="G1010" s="337"/>
      <c r="H1010" s="337"/>
      <c r="I1010" s="329"/>
      <c r="J1010" s="329"/>
      <c r="K1010" s="329"/>
      <c r="L1010" s="329"/>
      <c r="M1010" s="329"/>
      <c r="N1010" s="340"/>
    </row>
    <row r="1011" spans="1:14" ht="11.25" customHeight="1">
      <c r="A1011" s="128"/>
      <c r="B1011" s="34"/>
      <c r="C1011" s="128"/>
      <c r="D1011" s="417"/>
      <c r="E1011" s="6">
        <v>851.4</v>
      </c>
      <c r="F1011" s="4">
        <v>3</v>
      </c>
      <c r="G1011" s="337"/>
      <c r="H1011" s="337"/>
      <c r="I1011" s="329"/>
      <c r="J1011" s="329"/>
      <c r="K1011" s="329"/>
      <c r="L1011" s="329"/>
      <c r="M1011" s="329"/>
      <c r="N1011" s="340"/>
    </row>
    <row r="1012" spans="1:14" ht="10.5" customHeight="1">
      <c r="A1012" s="128"/>
      <c r="B1012" s="34"/>
      <c r="C1012" s="128"/>
      <c r="D1012" s="417"/>
      <c r="E1012" s="6">
        <v>5600</v>
      </c>
      <c r="F1012" s="4">
        <v>4</v>
      </c>
      <c r="G1012" s="337"/>
      <c r="H1012" s="337"/>
      <c r="I1012" s="329"/>
      <c r="J1012" s="329"/>
      <c r="K1012" s="329"/>
      <c r="L1012" s="329"/>
      <c r="M1012" s="329"/>
      <c r="N1012" s="340"/>
    </row>
    <row r="1013" spans="1:14" ht="10.5" customHeight="1">
      <c r="A1013" s="130"/>
      <c r="B1013" s="37"/>
      <c r="C1013" s="130"/>
      <c r="D1013" s="417"/>
      <c r="E1013" s="6">
        <f>E1008+E1009+E1011+E1012</f>
        <v>82843.37999999999</v>
      </c>
      <c r="F1013" s="4">
        <v>5</v>
      </c>
      <c r="G1013" s="337"/>
      <c r="H1013" s="337"/>
      <c r="I1013" s="329"/>
      <c r="J1013" s="329"/>
      <c r="K1013" s="329"/>
      <c r="L1013" s="329"/>
      <c r="M1013" s="329"/>
      <c r="N1013" s="340"/>
    </row>
    <row r="1014" spans="1:14" ht="12.75" customHeight="1">
      <c r="A1014" s="401">
        <v>123</v>
      </c>
      <c r="B1014" s="390" t="s">
        <v>353</v>
      </c>
      <c r="C1014" s="407" t="s">
        <v>15</v>
      </c>
      <c r="D1014" s="322" t="s">
        <v>120</v>
      </c>
      <c r="E1014" s="135">
        <f>E1020+E1026+E1032+E1038+E1044</f>
        <v>31939</v>
      </c>
      <c r="F1014" s="17">
        <v>1</v>
      </c>
      <c r="G1014" s="480">
        <f>SUM(G1020:G1049)</f>
        <v>16.91</v>
      </c>
      <c r="H1014" s="480">
        <f>SUM(H1020:H1049)</f>
        <v>26002.65</v>
      </c>
      <c r="I1014" s="492">
        <f>SUM(I1020:I1049)</f>
        <v>14.575000000000001</v>
      </c>
      <c r="J1014" s="492"/>
      <c r="K1014" s="492"/>
      <c r="L1014" s="492"/>
      <c r="M1014" s="492"/>
      <c r="N1014" s="492"/>
    </row>
    <row r="1015" spans="1:14" ht="12.75" customHeight="1">
      <c r="A1015" s="402"/>
      <c r="B1015" s="380"/>
      <c r="C1015" s="331"/>
      <c r="D1015" s="345"/>
      <c r="E1015" s="6">
        <f>E1021+E1027+E1033+E1039+E1045</f>
        <v>17145</v>
      </c>
      <c r="F1015" s="4">
        <v>2</v>
      </c>
      <c r="G1015" s="365"/>
      <c r="H1015" s="365"/>
      <c r="I1015" s="365"/>
      <c r="J1015" s="365"/>
      <c r="K1015" s="365"/>
      <c r="L1015" s="365"/>
      <c r="M1015" s="365"/>
      <c r="N1015" s="365"/>
    </row>
    <row r="1016" spans="1:14" ht="12.75" customHeight="1">
      <c r="A1016" s="402"/>
      <c r="B1016" s="380"/>
      <c r="C1016" s="331"/>
      <c r="D1016" s="345"/>
      <c r="E1016" s="6">
        <v>8572.5</v>
      </c>
      <c r="F1016" s="4" t="s">
        <v>258</v>
      </c>
      <c r="G1016" s="365"/>
      <c r="H1016" s="365"/>
      <c r="I1016" s="365"/>
      <c r="J1016" s="365"/>
      <c r="K1016" s="365"/>
      <c r="L1016" s="365"/>
      <c r="M1016" s="365"/>
      <c r="N1016" s="365"/>
    </row>
    <row r="1017" spans="1:14" ht="12.75" customHeight="1">
      <c r="A1017" s="402"/>
      <c r="B1017" s="380"/>
      <c r="C1017" s="331"/>
      <c r="D1017" s="345"/>
      <c r="E1017" s="6">
        <f>E1023+E1029+E1035+E1041+E1047</f>
        <v>3850</v>
      </c>
      <c r="F1017" s="4">
        <v>3</v>
      </c>
      <c r="G1017" s="365"/>
      <c r="H1017" s="365"/>
      <c r="I1017" s="365"/>
      <c r="J1017" s="365"/>
      <c r="K1017" s="365"/>
      <c r="L1017" s="365"/>
      <c r="M1017" s="365"/>
      <c r="N1017" s="365"/>
    </row>
    <row r="1018" spans="1:14" ht="12.75" customHeight="1">
      <c r="A1018" s="402"/>
      <c r="B1018" s="380"/>
      <c r="C1018" s="331"/>
      <c r="D1018" s="345"/>
      <c r="E1018" s="6">
        <f>E1024+E1036+E1030+E1042+E1048</f>
        <v>26950</v>
      </c>
      <c r="F1018" s="4">
        <v>4</v>
      </c>
      <c r="G1018" s="365"/>
      <c r="H1018" s="365"/>
      <c r="I1018" s="365"/>
      <c r="J1018" s="365"/>
      <c r="K1018" s="365"/>
      <c r="L1018" s="365"/>
      <c r="M1018" s="365"/>
      <c r="N1018" s="365"/>
    </row>
    <row r="1019" spans="1:14" ht="12.75" customHeight="1">
      <c r="A1019" s="402"/>
      <c r="B1019" s="381"/>
      <c r="C1019" s="331"/>
      <c r="D1019" s="345"/>
      <c r="E1019" s="6">
        <f>E1014+E1015+E1017+E1018</f>
        <v>79884</v>
      </c>
      <c r="F1019" s="4">
        <v>5</v>
      </c>
      <c r="G1019" s="365"/>
      <c r="H1019" s="365"/>
      <c r="I1019" s="365"/>
      <c r="J1019" s="365"/>
      <c r="K1019" s="365"/>
      <c r="L1019" s="365"/>
      <c r="M1019" s="365"/>
      <c r="N1019" s="365"/>
    </row>
    <row r="1020" spans="1:14" ht="11.25" customHeight="1">
      <c r="A1020" s="402"/>
      <c r="B1020" s="18">
        <v>117</v>
      </c>
      <c r="C1020" s="432"/>
      <c r="D1020" s="435">
        <v>2011</v>
      </c>
      <c r="E1020" s="6">
        <v>6327.4</v>
      </c>
      <c r="F1020" s="4">
        <v>1</v>
      </c>
      <c r="G1020" s="337">
        <v>3.51</v>
      </c>
      <c r="H1020" s="337">
        <v>5332.65</v>
      </c>
      <c r="I1020" s="329">
        <v>3.02</v>
      </c>
      <c r="J1020" s="329"/>
      <c r="K1020" s="329"/>
      <c r="L1020" s="329"/>
      <c r="M1020" s="329"/>
      <c r="N1020" s="329"/>
    </row>
    <row r="1021" spans="1:14" ht="10.5" customHeight="1">
      <c r="A1021" s="402"/>
      <c r="B1021" s="81"/>
      <c r="C1021" s="432"/>
      <c r="D1021" s="435"/>
      <c r="E1021" s="6">
        <v>3327.4</v>
      </c>
      <c r="F1021" s="4">
        <v>2</v>
      </c>
      <c r="G1021" s="337"/>
      <c r="H1021" s="337"/>
      <c r="I1021" s="329"/>
      <c r="J1021" s="329"/>
      <c r="K1021" s="329"/>
      <c r="L1021" s="329"/>
      <c r="M1021" s="329"/>
      <c r="N1021" s="329"/>
    </row>
    <row r="1022" spans="1:14" ht="10.5" customHeight="1">
      <c r="A1022" s="402"/>
      <c r="B1022" s="81"/>
      <c r="C1022" s="432"/>
      <c r="D1022" s="435"/>
      <c r="E1022" s="6">
        <v>1663.7</v>
      </c>
      <c r="F1022" s="4" t="s">
        <v>258</v>
      </c>
      <c r="G1022" s="337"/>
      <c r="H1022" s="337"/>
      <c r="I1022" s="329"/>
      <c r="J1022" s="329"/>
      <c r="K1022" s="329"/>
      <c r="L1022" s="329"/>
      <c r="M1022" s="329"/>
      <c r="N1022" s="329"/>
    </row>
    <row r="1023" spans="1:14" ht="10.5" customHeight="1">
      <c r="A1023" s="402"/>
      <c r="B1023" s="81"/>
      <c r="C1023" s="432"/>
      <c r="D1023" s="435"/>
      <c r="E1023" s="6">
        <v>750</v>
      </c>
      <c r="F1023" s="4">
        <v>3</v>
      </c>
      <c r="G1023" s="337"/>
      <c r="H1023" s="337"/>
      <c r="I1023" s="329"/>
      <c r="J1023" s="329"/>
      <c r="K1023" s="329"/>
      <c r="L1023" s="329"/>
      <c r="M1023" s="329"/>
      <c r="N1023" s="329"/>
    </row>
    <row r="1024" spans="1:14" ht="10.5" customHeight="1">
      <c r="A1024" s="402"/>
      <c r="B1024" s="81"/>
      <c r="C1024" s="432"/>
      <c r="D1024" s="435"/>
      <c r="E1024" s="6">
        <v>5250</v>
      </c>
      <c r="F1024" s="4">
        <v>4</v>
      </c>
      <c r="G1024" s="337"/>
      <c r="H1024" s="337"/>
      <c r="I1024" s="329"/>
      <c r="J1024" s="329"/>
      <c r="K1024" s="329"/>
      <c r="L1024" s="329"/>
      <c r="M1024" s="329"/>
      <c r="N1024" s="329"/>
    </row>
    <row r="1025" spans="1:14" ht="10.5" customHeight="1">
      <c r="A1025" s="402"/>
      <c r="B1025" s="81"/>
      <c r="C1025" s="432"/>
      <c r="D1025" s="435"/>
      <c r="E1025" s="6">
        <f>E1020+E1021+E1023+E1024</f>
        <v>15654.8</v>
      </c>
      <c r="F1025" s="4">
        <v>5</v>
      </c>
      <c r="G1025" s="337"/>
      <c r="H1025" s="337"/>
      <c r="I1025" s="329"/>
      <c r="J1025" s="329"/>
      <c r="K1025" s="329"/>
      <c r="L1025" s="329"/>
      <c r="M1025" s="329"/>
      <c r="N1025" s="329"/>
    </row>
    <row r="1026" spans="1:14" ht="10.5" customHeight="1">
      <c r="A1026" s="402"/>
      <c r="B1026" s="81">
        <v>76</v>
      </c>
      <c r="C1026" s="432"/>
      <c r="D1026" s="435">
        <v>2012</v>
      </c>
      <c r="E1026" s="6">
        <v>6027.3</v>
      </c>
      <c r="F1026" s="4">
        <v>1</v>
      </c>
      <c r="G1026" s="337">
        <v>3.25</v>
      </c>
      <c r="H1026" s="337">
        <v>5040</v>
      </c>
      <c r="I1026" s="329">
        <v>2.8</v>
      </c>
      <c r="J1026" s="329"/>
      <c r="K1026" s="329"/>
      <c r="L1026" s="329"/>
      <c r="M1026" s="329"/>
      <c r="N1026" s="329"/>
    </row>
    <row r="1027" spans="1:14" ht="10.5" customHeight="1">
      <c r="A1027" s="402"/>
      <c r="B1027" s="81"/>
      <c r="C1027" s="432"/>
      <c r="D1027" s="418"/>
      <c r="E1027" s="6">
        <v>3027.3</v>
      </c>
      <c r="F1027" s="4">
        <v>2</v>
      </c>
      <c r="G1027" s="337"/>
      <c r="H1027" s="337"/>
      <c r="I1027" s="329"/>
      <c r="J1027" s="329"/>
      <c r="K1027" s="329"/>
      <c r="L1027" s="329"/>
      <c r="M1027" s="329"/>
      <c r="N1027" s="329"/>
    </row>
    <row r="1028" spans="1:14" ht="10.5" customHeight="1">
      <c r="A1028" s="402"/>
      <c r="B1028" s="81"/>
      <c r="C1028" s="432"/>
      <c r="D1028" s="418"/>
      <c r="E1028" s="6">
        <v>1513.65</v>
      </c>
      <c r="F1028" s="4" t="s">
        <v>258</v>
      </c>
      <c r="G1028" s="337"/>
      <c r="H1028" s="337"/>
      <c r="I1028" s="329"/>
      <c r="J1028" s="329"/>
      <c r="K1028" s="329"/>
      <c r="L1028" s="329"/>
      <c r="M1028" s="329"/>
      <c r="N1028" s="329"/>
    </row>
    <row r="1029" spans="1:14" ht="10.5" customHeight="1">
      <c r="A1029" s="402"/>
      <c r="B1029" s="81"/>
      <c r="C1029" s="432"/>
      <c r="D1029" s="418"/>
      <c r="E1029" s="6">
        <v>750</v>
      </c>
      <c r="F1029" s="4">
        <v>3</v>
      </c>
      <c r="G1029" s="337"/>
      <c r="H1029" s="337"/>
      <c r="I1029" s="329"/>
      <c r="J1029" s="329"/>
      <c r="K1029" s="329"/>
      <c r="L1029" s="329"/>
      <c r="M1029" s="329"/>
      <c r="N1029" s="329"/>
    </row>
    <row r="1030" spans="1:14" ht="10.5" customHeight="1">
      <c r="A1030" s="402"/>
      <c r="B1030" s="81"/>
      <c r="C1030" s="432"/>
      <c r="D1030" s="418"/>
      <c r="E1030" s="6">
        <v>5250</v>
      </c>
      <c r="F1030" s="4">
        <v>4</v>
      </c>
      <c r="G1030" s="337"/>
      <c r="H1030" s="337"/>
      <c r="I1030" s="329"/>
      <c r="J1030" s="329"/>
      <c r="K1030" s="329"/>
      <c r="L1030" s="329"/>
      <c r="M1030" s="329"/>
      <c r="N1030" s="329"/>
    </row>
    <row r="1031" spans="1:14" ht="10.5" customHeight="1">
      <c r="A1031" s="402"/>
      <c r="B1031" s="81"/>
      <c r="C1031" s="432"/>
      <c r="D1031" s="418"/>
      <c r="E1031" s="6">
        <f>E1026+E1027+E1029+E1030</f>
        <v>15054.6</v>
      </c>
      <c r="F1031" s="4">
        <v>5</v>
      </c>
      <c r="G1031" s="337"/>
      <c r="H1031" s="337"/>
      <c r="I1031" s="329"/>
      <c r="J1031" s="329"/>
      <c r="K1031" s="329"/>
      <c r="L1031" s="329"/>
      <c r="M1031" s="329"/>
      <c r="N1031" s="329"/>
    </row>
    <row r="1032" spans="1:14" ht="10.5" customHeight="1">
      <c r="A1032" s="394"/>
      <c r="B1032" s="81">
        <v>101</v>
      </c>
      <c r="C1032" s="378"/>
      <c r="D1032" s="435">
        <v>2013</v>
      </c>
      <c r="E1032" s="6">
        <v>6735.7</v>
      </c>
      <c r="F1032" s="4">
        <v>1</v>
      </c>
      <c r="G1032" s="337">
        <v>3.43</v>
      </c>
      <c r="H1032" s="337">
        <v>5190</v>
      </c>
      <c r="I1032" s="329">
        <v>2.955</v>
      </c>
      <c r="J1032" s="329"/>
      <c r="K1032" s="329"/>
      <c r="L1032" s="329"/>
      <c r="M1032" s="329"/>
      <c r="N1032" s="329"/>
    </row>
    <row r="1033" spans="1:14" ht="11.25" customHeight="1">
      <c r="A1033" s="394"/>
      <c r="B1033" s="81"/>
      <c r="C1033" s="378"/>
      <c r="D1033" s="435"/>
      <c r="E1033" s="6">
        <v>4335.7</v>
      </c>
      <c r="F1033" s="4">
        <v>2</v>
      </c>
      <c r="G1033" s="337"/>
      <c r="H1033" s="337"/>
      <c r="I1033" s="329"/>
      <c r="J1033" s="329"/>
      <c r="K1033" s="329"/>
      <c r="L1033" s="329"/>
      <c r="M1033" s="329"/>
      <c r="N1033" s="329"/>
    </row>
    <row r="1034" spans="1:14" ht="10.5" customHeight="1">
      <c r="A1034" s="394"/>
      <c r="B1034" s="81"/>
      <c r="C1034" s="378"/>
      <c r="D1034" s="435"/>
      <c r="E1034" s="6">
        <v>2167.85</v>
      </c>
      <c r="F1034" s="4" t="s">
        <v>258</v>
      </c>
      <c r="G1034" s="337"/>
      <c r="H1034" s="337"/>
      <c r="I1034" s="329"/>
      <c r="J1034" s="329"/>
      <c r="K1034" s="329"/>
      <c r="L1034" s="329"/>
      <c r="M1034" s="329"/>
      <c r="N1034" s="329"/>
    </row>
    <row r="1035" spans="1:14" ht="9.75" customHeight="1">
      <c r="A1035" s="394"/>
      <c r="B1035" s="81"/>
      <c r="C1035" s="378"/>
      <c r="D1035" s="435"/>
      <c r="E1035" s="6">
        <v>750</v>
      </c>
      <c r="F1035" s="4">
        <v>3</v>
      </c>
      <c r="G1035" s="337"/>
      <c r="H1035" s="337"/>
      <c r="I1035" s="329"/>
      <c r="J1035" s="329"/>
      <c r="K1035" s="329"/>
      <c r="L1035" s="329"/>
      <c r="M1035" s="329"/>
      <c r="N1035" s="329"/>
    </row>
    <row r="1036" spans="1:14" ht="10.5" customHeight="1">
      <c r="A1036" s="394"/>
      <c r="B1036" s="81"/>
      <c r="C1036" s="378"/>
      <c r="D1036" s="435"/>
      <c r="E1036" s="6">
        <v>5250</v>
      </c>
      <c r="F1036" s="4">
        <v>4</v>
      </c>
      <c r="G1036" s="337"/>
      <c r="H1036" s="337"/>
      <c r="I1036" s="329"/>
      <c r="J1036" s="329"/>
      <c r="K1036" s="329"/>
      <c r="L1036" s="329"/>
      <c r="M1036" s="329"/>
      <c r="N1036" s="329"/>
    </row>
    <row r="1037" spans="1:14" ht="10.5" customHeight="1">
      <c r="A1037" s="394"/>
      <c r="B1037" s="81"/>
      <c r="C1037" s="378"/>
      <c r="D1037" s="435"/>
      <c r="E1037" s="6">
        <f>E1032+E1033+E1035+E1036</f>
        <v>17071.4</v>
      </c>
      <c r="F1037" s="4">
        <v>5</v>
      </c>
      <c r="G1037" s="337"/>
      <c r="H1037" s="337"/>
      <c r="I1037" s="329"/>
      <c r="J1037" s="329"/>
      <c r="K1037" s="329"/>
      <c r="L1037" s="329"/>
      <c r="M1037" s="329"/>
      <c r="N1037" s="329"/>
    </row>
    <row r="1038" spans="1:14" ht="10.5" customHeight="1">
      <c r="A1038" s="394"/>
      <c r="B1038" s="81">
        <v>44</v>
      </c>
      <c r="C1038" s="378"/>
      <c r="D1038" s="435">
        <v>2014</v>
      </c>
      <c r="E1038" s="6">
        <v>6424.3</v>
      </c>
      <c r="F1038" s="4">
        <v>1</v>
      </c>
      <c r="G1038" s="337">
        <v>3.36</v>
      </c>
      <c r="H1038" s="337">
        <v>5220</v>
      </c>
      <c r="I1038" s="329">
        <v>2.9</v>
      </c>
      <c r="J1038" s="329"/>
      <c r="K1038" s="329"/>
      <c r="L1038" s="329"/>
      <c r="M1038" s="329"/>
      <c r="N1038" s="329"/>
    </row>
    <row r="1039" spans="1:14" ht="10.5" customHeight="1">
      <c r="A1039" s="394"/>
      <c r="B1039" s="81"/>
      <c r="C1039" s="378"/>
      <c r="D1039" s="418"/>
      <c r="E1039" s="6">
        <v>3227.3</v>
      </c>
      <c r="F1039" s="4">
        <v>2</v>
      </c>
      <c r="G1039" s="337"/>
      <c r="H1039" s="337"/>
      <c r="I1039" s="329"/>
      <c r="J1039" s="329"/>
      <c r="K1039" s="329"/>
      <c r="L1039" s="329"/>
      <c r="M1039" s="329"/>
      <c r="N1039" s="329"/>
    </row>
    <row r="1040" spans="1:14" ht="10.5" customHeight="1">
      <c r="A1040" s="394"/>
      <c r="B1040" s="81"/>
      <c r="C1040" s="378"/>
      <c r="D1040" s="418"/>
      <c r="E1040" s="6">
        <v>1613.65</v>
      </c>
      <c r="F1040" s="4" t="s">
        <v>258</v>
      </c>
      <c r="G1040" s="337"/>
      <c r="H1040" s="337"/>
      <c r="I1040" s="329"/>
      <c r="J1040" s="329"/>
      <c r="K1040" s="329"/>
      <c r="L1040" s="329"/>
      <c r="M1040" s="329"/>
      <c r="N1040" s="329"/>
    </row>
    <row r="1041" spans="1:14" ht="10.5" customHeight="1">
      <c r="A1041" s="394"/>
      <c r="B1041" s="81"/>
      <c r="C1041" s="378"/>
      <c r="D1041" s="418"/>
      <c r="E1041" s="6">
        <v>800</v>
      </c>
      <c r="F1041" s="4">
        <v>3</v>
      </c>
      <c r="G1041" s="337"/>
      <c r="H1041" s="337"/>
      <c r="I1041" s="329"/>
      <c r="J1041" s="329"/>
      <c r="K1041" s="329"/>
      <c r="L1041" s="329"/>
      <c r="M1041" s="329"/>
      <c r="N1041" s="329"/>
    </row>
    <row r="1042" spans="1:14" ht="10.5" customHeight="1">
      <c r="A1042" s="394"/>
      <c r="B1042" s="81"/>
      <c r="C1042" s="378"/>
      <c r="D1042" s="418"/>
      <c r="E1042" s="6">
        <v>5600</v>
      </c>
      <c r="F1042" s="4">
        <v>4</v>
      </c>
      <c r="G1042" s="337"/>
      <c r="H1042" s="337"/>
      <c r="I1042" s="329"/>
      <c r="J1042" s="329"/>
      <c r="K1042" s="329"/>
      <c r="L1042" s="329"/>
      <c r="M1042" s="329"/>
      <c r="N1042" s="329"/>
    </row>
    <row r="1043" spans="1:14" ht="10.5" customHeight="1">
      <c r="A1043" s="394"/>
      <c r="B1043" s="81"/>
      <c r="C1043" s="378"/>
      <c r="D1043" s="418"/>
      <c r="E1043" s="6">
        <f>E1038+E1039+E1041+E1042</f>
        <v>16051.6</v>
      </c>
      <c r="F1043" s="4">
        <v>5</v>
      </c>
      <c r="G1043" s="337"/>
      <c r="H1043" s="337"/>
      <c r="I1043" s="329"/>
      <c r="J1043" s="329"/>
      <c r="K1043" s="329"/>
      <c r="L1043" s="329"/>
      <c r="M1043" s="329"/>
      <c r="N1043" s="329"/>
    </row>
    <row r="1044" spans="1:14" ht="10.5" customHeight="1">
      <c r="A1044" s="394"/>
      <c r="B1044" s="34">
        <v>44</v>
      </c>
      <c r="C1044" s="378"/>
      <c r="D1044" s="417">
        <v>2015</v>
      </c>
      <c r="E1044" s="6">
        <v>6424.3</v>
      </c>
      <c r="F1044" s="4">
        <v>1</v>
      </c>
      <c r="G1044" s="337">
        <v>3.36</v>
      </c>
      <c r="H1044" s="337">
        <v>5220</v>
      </c>
      <c r="I1044" s="329">
        <v>2.9</v>
      </c>
      <c r="J1044" s="467"/>
      <c r="K1044" s="467"/>
      <c r="L1044" s="467"/>
      <c r="M1044" s="467"/>
      <c r="N1044" s="340"/>
    </row>
    <row r="1045" spans="1:14" ht="9.75" customHeight="1">
      <c r="A1045" s="394"/>
      <c r="B1045" s="34"/>
      <c r="C1045" s="378"/>
      <c r="D1045" s="417"/>
      <c r="E1045" s="6">
        <v>3227.3</v>
      </c>
      <c r="F1045" s="4">
        <v>2</v>
      </c>
      <c r="G1045" s="337"/>
      <c r="H1045" s="337"/>
      <c r="I1045" s="329"/>
      <c r="J1045" s="467"/>
      <c r="K1045" s="467"/>
      <c r="L1045" s="467"/>
      <c r="M1045" s="467"/>
      <c r="N1045" s="340"/>
    </row>
    <row r="1046" spans="1:14" ht="10.5" customHeight="1">
      <c r="A1046" s="394"/>
      <c r="B1046" s="34"/>
      <c r="C1046" s="378"/>
      <c r="D1046" s="417"/>
      <c r="E1046" s="6">
        <v>1613.65</v>
      </c>
      <c r="F1046" s="4" t="s">
        <v>258</v>
      </c>
      <c r="G1046" s="337"/>
      <c r="H1046" s="337"/>
      <c r="I1046" s="329"/>
      <c r="J1046" s="467"/>
      <c r="K1046" s="467"/>
      <c r="L1046" s="467"/>
      <c r="M1046" s="467"/>
      <c r="N1046" s="340"/>
    </row>
    <row r="1047" spans="1:14" ht="10.5" customHeight="1">
      <c r="A1047" s="394"/>
      <c r="B1047" s="34"/>
      <c r="C1047" s="378"/>
      <c r="D1047" s="417"/>
      <c r="E1047" s="6">
        <v>800</v>
      </c>
      <c r="F1047" s="4">
        <v>3</v>
      </c>
      <c r="G1047" s="337"/>
      <c r="H1047" s="337"/>
      <c r="I1047" s="329"/>
      <c r="J1047" s="467"/>
      <c r="K1047" s="467"/>
      <c r="L1047" s="467"/>
      <c r="M1047" s="467"/>
      <c r="N1047" s="340"/>
    </row>
    <row r="1048" spans="1:14" ht="10.5" customHeight="1">
      <c r="A1048" s="394"/>
      <c r="B1048" s="34"/>
      <c r="C1048" s="378"/>
      <c r="D1048" s="417"/>
      <c r="E1048" s="6">
        <v>5600</v>
      </c>
      <c r="F1048" s="4">
        <v>4</v>
      </c>
      <c r="G1048" s="337"/>
      <c r="H1048" s="337"/>
      <c r="I1048" s="329"/>
      <c r="J1048" s="467"/>
      <c r="K1048" s="467"/>
      <c r="L1048" s="467"/>
      <c r="M1048" s="467"/>
      <c r="N1048" s="340"/>
    </row>
    <row r="1049" spans="1:14" ht="10.5" customHeight="1">
      <c r="A1049" s="413"/>
      <c r="B1049" s="37"/>
      <c r="C1049" s="379"/>
      <c r="D1049" s="417"/>
      <c r="E1049" s="6">
        <f>E1044+E1045+E1047+E1048</f>
        <v>16051.6</v>
      </c>
      <c r="F1049" s="4">
        <v>5</v>
      </c>
      <c r="G1049" s="337"/>
      <c r="H1049" s="337"/>
      <c r="I1049" s="329"/>
      <c r="J1049" s="467"/>
      <c r="K1049" s="467"/>
      <c r="L1049" s="467"/>
      <c r="M1049" s="467"/>
      <c r="N1049" s="340"/>
    </row>
    <row r="1050" spans="1:14" ht="10.5" customHeight="1">
      <c r="A1050" s="407">
        <v>124</v>
      </c>
      <c r="B1050" s="433" t="s">
        <v>67</v>
      </c>
      <c r="C1050" s="407" t="s">
        <v>367</v>
      </c>
      <c r="D1050" s="322">
        <v>2011</v>
      </c>
      <c r="E1050" s="78">
        <v>2652.4</v>
      </c>
      <c r="F1050" s="4">
        <v>1</v>
      </c>
      <c r="G1050" s="337">
        <v>0.57</v>
      </c>
      <c r="H1050" s="337">
        <v>558.3</v>
      </c>
      <c r="I1050" s="329"/>
      <c r="J1050" s="329"/>
      <c r="K1050" s="329">
        <v>0.755</v>
      </c>
      <c r="L1050" s="329"/>
      <c r="M1050" s="329"/>
      <c r="N1050" s="329"/>
    </row>
    <row r="1051" spans="1:14" ht="10.5" customHeight="1">
      <c r="A1051" s="331"/>
      <c r="B1051" s="434"/>
      <c r="C1051" s="331"/>
      <c r="D1051" s="491"/>
      <c r="E1051" s="78">
        <v>571.1</v>
      </c>
      <c r="F1051" s="4">
        <v>2</v>
      </c>
      <c r="G1051" s="337"/>
      <c r="H1051" s="337"/>
      <c r="I1051" s="329"/>
      <c r="J1051" s="329"/>
      <c r="K1051" s="329"/>
      <c r="L1051" s="329"/>
      <c r="M1051" s="329"/>
      <c r="N1051" s="329"/>
    </row>
    <row r="1052" spans="1:14" ht="9.75" customHeight="1">
      <c r="A1052" s="331"/>
      <c r="B1052" s="434"/>
      <c r="C1052" s="331"/>
      <c r="D1052" s="491"/>
      <c r="E1052" s="78">
        <v>285.55</v>
      </c>
      <c r="F1052" s="4" t="s">
        <v>258</v>
      </c>
      <c r="G1052" s="337"/>
      <c r="H1052" s="337"/>
      <c r="I1052" s="329"/>
      <c r="J1052" s="329"/>
      <c r="K1052" s="329"/>
      <c r="L1052" s="329"/>
      <c r="M1052" s="329"/>
      <c r="N1052" s="329"/>
    </row>
    <row r="1053" spans="1:14" ht="10.5" customHeight="1">
      <c r="A1053" s="331"/>
      <c r="B1053" s="434"/>
      <c r="C1053" s="331"/>
      <c r="D1053" s="491"/>
      <c r="E1053" s="78">
        <v>502</v>
      </c>
      <c r="F1053" s="4">
        <v>3</v>
      </c>
      <c r="G1053" s="337"/>
      <c r="H1053" s="337"/>
      <c r="I1053" s="329"/>
      <c r="J1053" s="329"/>
      <c r="K1053" s="329"/>
      <c r="L1053" s="329"/>
      <c r="M1053" s="329"/>
      <c r="N1053" s="329"/>
    </row>
    <row r="1054" spans="1:14" ht="9.75" customHeight="1">
      <c r="A1054" s="339"/>
      <c r="B1054" s="425"/>
      <c r="C1054" s="339"/>
      <c r="D1054" s="491"/>
      <c r="E1054" s="78">
        <f>E1050+E1051+E1053</f>
        <v>3725.5</v>
      </c>
      <c r="F1054" s="4">
        <v>5</v>
      </c>
      <c r="G1054" s="337"/>
      <c r="H1054" s="337"/>
      <c r="I1054" s="329"/>
      <c r="J1054" s="329"/>
      <c r="K1054" s="329"/>
      <c r="L1054" s="329"/>
      <c r="M1054" s="329"/>
      <c r="N1054" s="329"/>
    </row>
    <row r="1055" spans="1:14" ht="10.5" customHeight="1">
      <c r="A1055" s="361">
        <v>125</v>
      </c>
      <c r="B1055" s="390" t="s">
        <v>233</v>
      </c>
      <c r="C1055" s="407" t="s">
        <v>226</v>
      </c>
      <c r="D1055" s="339" t="s">
        <v>120</v>
      </c>
      <c r="E1055" s="174">
        <f>E1061+E1067+E1073+E1079+E1085</f>
        <v>481294.7</v>
      </c>
      <c r="F1055" s="172">
        <v>1</v>
      </c>
      <c r="G1055" s="336">
        <f>SUM(G1061:G1090)</f>
        <v>33.4</v>
      </c>
      <c r="H1055" s="336">
        <f>SUM(H1061:H1090)</f>
        <v>43316.147</v>
      </c>
      <c r="I1055" s="306">
        <f>SUM(I1061:I1090)</f>
        <v>22.805999999999997</v>
      </c>
      <c r="J1055" s="306"/>
      <c r="K1055" s="306"/>
      <c r="L1055" s="306"/>
      <c r="M1055" s="306">
        <f>SUM(M1061:M1090)</f>
        <v>13.194999999999999</v>
      </c>
      <c r="N1055" s="306"/>
    </row>
    <row r="1056" spans="1:14" ht="10.5" customHeight="1">
      <c r="A1056" s="362"/>
      <c r="B1056" s="390"/>
      <c r="C1056" s="282"/>
      <c r="D1056" s="418"/>
      <c r="E1056" s="6">
        <f>E1062+E1068+E1074+E1080+E1086</f>
        <v>87444.4</v>
      </c>
      <c r="F1056" s="4">
        <v>2</v>
      </c>
      <c r="G1056" s="337"/>
      <c r="H1056" s="337"/>
      <c r="I1056" s="329"/>
      <c r="J1056" s="329"/>
      <c r="K1056" s="329"/>
      <c r="L1056" s="329"/>
      <c r="M1056" s="329"/>
      <c r="N1056" s="329"/>
    </row>
    <row r="1057" spans="1:14" ht="9.75" customHeight="1">
      <c r="A1057" s="362"/>
      <c r="B1057" s="390"/>
      <c r="C1057" s="282"/>
      <c r="D1057" s="418"/>
      <c r="E1057" s="6">
        <v>43722.2</v>
      </c>
      <c r="F1057" s="4" t="s">
        <v>258</v>
      </c>
      <c r="G1057" s="337"/>
      <c r="H1057" s="337"/>
      <c r="I1057" s="329"/>
      <c r="J1057" s="329"/>
      <c r="K1057" s="329"/>
      <c r="L1057" s="329"/>
      <c r="M1057" s="329"/>
      <c r="N1057" s="329"/>
    </row>
    <row r="1058" spans="1:14" ht="10.5" customHeight="1">
      <c r="A1058" s="362"/>
      <c r="B1058" s="390"/>
      <c r="C1058" s="282"/>
      <c r="D1058" s="418"/>
      <c r="E1058" s="6">
        <v>31081</v>
      </c>
      <c r="F1058" s="4">
        <v>3</v>
      </c>
      <c r="G1058" s="337"/>
      <c r="H1058" s="337"/>
      <c r="I1058" s="329"/>
      <c r="J1058" s="329"/>
      <c r="K1058" s="329"/>
      <c r="L1058" s="329"/>
      <c r="M1058" s="329"/>
      <c r="N1058" s="329"/>
    </row>
    <row r="1059" spans="1:14" ht="10.5" customHeight="1">
      <c r="A1059" s="362"/>
      <c r="B1059" s="390"/>
      <c r="C1059" s="282"/>
      <c r="D1059" s="418"/>
      <c r="E1059" s="6">
        <f>E1065+E1071+E1077+E1083+E1089</f>
        <v>60900</v>
      </c>
      <c r="F1059" s="4">
        <v>4</v>
      </c>
      <c r="G1059" s="337"/>
      <c r="H1059" s="337"/>
      <c r="I1059" s="329"/>
      <c r="J1059" s="329"/>
      <c r="K1059" s="329"/>
      <c r="L1059" s="329"/>
      <c r="M1059" s="329"/>
      <c r="N1059" s="329"/>
    </row>
    <row r="1060" spans="1:14" ht="10.5" customHeight="1">
      <c r="A1060" s="363"/>
      <c r="B1060" s="390"/>
      <c r="C1060" s="283"/>
      <c r="D1060" s="418"/>
      <c r="E1060" s="6">
        <f>E1055+E1056+E1058+E1059</f>
        <v>660720.1</v>
      </c>
      <c r="F1060" s="4">
        <v>5</v>
      </c>
      <c r="G1060" s="337"/>
      <c r="H1060" s="337"/>
      <c r="I1060" s="329"/>
      <c r="J1060" s="329"/>
      <c r="K1060" s="329"/>
      <c r="L1060" s="329"/>
      <c r="M1060" s="329"/>
      <c r="N1060" s="329"/>
    </row>
    <row r="1061" spans="1:14" ht="10.5" customHeight="1">
      <c r="A1061" s="431"/>
      <c r="B1061" s="18">
        <v>159</v>
      </c>
      <c r="C1061" s="426"/>
      <c r="D1061" s="428">
        <v>2011</v>
      </c>
      <c r="E1061" s="6">
        <v>96392.5</v>
      </c>
      <c r="F1061" s="4">
        <v>1</v>
      </c>
      <c r="G1061" s="337">
        <v>6.76</v>
      </c>
      <c r="H1061" s="337">
        <v>8734.6</v>
      </c>
      <c r="I1061" s="329">
        <v>4.62</v>
      </c>
      <c r="J1061" s="329"/>
      <c r="K1061" s="329"/>
      <c r="L1061" s="329"/>
      <c r="M1061" s="329">
        <v>2.639</v>
      </c>
      <c r="N1061" s="329"/>
    </row>
    <row r="1062" spans="1:14" ht="10.5" customHeight="1">
      <c r="A1062" s="362"/>
      <c r="B1062" s="81"/>
      <c r="C1062" s="282"/>
      <c r="D1062" s="418"/>
      <c r="E1062" s="6">
        <v>17487.8</v>
      </c>
      <c r="F1062" s="4">
        <v>2</v>
      </c>
      <c r="G1062" s="337"/>
      <c r="H1062" s="337"/>
      <c r="I1062" s="329"/>
      <c r="J1062" s="329"/>
      <c r="K1062" s="329"/>
      <c r="L1062" s="329"/>
      <c r="M1062" s="329"/>
      <c r="N1062" s="329"/>
    </row>
    <row r="1063" spans="1:14" ht="10.5" customHeight="1">
      <c r="A1063" s="362"/>
      <c r="B1063" s="81"/>
      <c r="C1063" s="282"/>
      <c r="D1063" s="418"/>
      <c r="E1063" s="6">
        <v>8743.9</v>
      </c>
      <c r="F1063" s="4" t="s">
        <v>258</v>
      </c>
      <c r="G1063" s="337"/>
      <c r="H1063" s="337"/>
      <c r="I1063" s="329"/>
      <c r="J1063" s="329"/>
      <c r="K1063" s="329"/>
      <c r="L1063" s="329"/>
      <c r="M1063" s="329"/>
      <c r="N1063" s="329"/>
    </row>
    <row r="1064" spans="1:14" ht="10.5" customHeight="1">
      <c r="A1064" s="362"/>
      <c r="B1064" s="81"/>
      <c r="C1064" s="282"/>
      <c r="D1064" s="418"/>
      <c r="E1064" s="6">
        <v>5866.7</v>
      </c>
      <c r="F1064" s="4">
        <v>3</v>
      </c>
      <c r="G1064" s="337"/>
      <c r="H1064" s="337"/>
      <c r="I1064" s="329"/>
      <c r="J1064" s="329"/>
      <c r="K1064" s="329"/>
      <c r="L1064" s="329"/>
      <c r="M1064" s="329"/>
      <c r="N1064" s="329"/>
    </row>
    <row r="1065" spans="1:14" ht="9.75" customHeight="1">
      <c r="A1065" s="362"/>
      <c r="B1065" s="81"/>
      <c r="C1065" s="282"/>
      <c r="D1065" s="418"/>
      <c r="E1065" s="6">
        <v>12180</v>
      </c>
      <c r="F1065" s="4">
        <v>4</v>
      </c>
      <c r="G1065" s="337"/>
      <c r="H1065" s="337"/>
      <c r="I1065" s="329"/>
      <c r="J1065" s="329"/>
      <c r="K1065" s="329"/>
      <c r="L1065" s="329"/>
      <c r="M1065" s="329"/>
      <c r="N1065" s="329"/>
    </row>
    <row r="1066" spans="1:14" ht="10.5" customHeight="1">
      <c r="A1066" s="362"/>
      <c r="B1066" s="81"/>
      <c r="C1066" s="282"/>
      <c r="D1066" s="418"/>
      <c r="E1066" s="6">
        <f>E1061+E1062+E1064+E1065</f>
        <v>131927</v>
      </c>
      <c r="F1066" s="4">
        <v>5</v>
      </c>
      <c r="G1066" s="337"/>
      <c r="H1066" s="337"/>
      <c r="I1066" s="329"/>
      <c r="J1066" s="329"/>
      <c r="K1066" s="329"/>
      <c r="L1066" s="329"/>
      <c r="M1066" s="329"/>
      <c r="N1066" s="329"/>
    </row>
    <row r="1067" spans="1:14" ht="11.25" customHeight="1">
      <c r="A1067" s="362"/>
      <c r="B1067" s="81">
        <v>158</v>
      </c>
      <c r="C1067" s="282"/>
      <c r="D1067" s="428">
        <v>2012</v>
      </c>
      <c r="E1067" s="6">
        <v>96032.5</v>
      </c>
      <c r="F1067" s="4">
        <v>1</v>
      </c>
      <c r="G1067" s="337">
        <v>6.69</v>
      </c>
      <c r="H1067" s="337">
        <v>8680.85</v>
      </c>
      <c r="I1067" s="329">
        <v>4.575</v>
      </c>
      <c r="J1067" s="329"/>
      <c r="K1067" s="329"/>
      <c r="L1067" s="329"/>
      <c r="M1067" s="329">
        <v>2.639</v>
      </c>
      <c r="N1067" s="329"/>
    </row>
    <row r="1068" spans="1:14" ht="11.25" customHeight="1">
      <c r="A1068" s="362"/>
      <c r="B1068" s="81"/>
      <c r="C1068" s="282"/>
      <c r="D1068" s="418"/>
      <c r="E1068" s="6">
        <v>17465.3</v>
      </c>
      <c r="F1068" s="4">
        <v>2</v>
      </c>
      <c r="G1068" s="337"/>
      <c r="H1068" s="337"/>
      <c r="I1068" s="329"/>
      <c r="J1068" s="329"/>
      <c r="K1068" s="329"/>
      <c r="L1068" s="329"/>
      <c r="M1068" s="329"/>
      <c r="N1068" s="329"/>
    </row>
    <row r="1069" spans="1:14" ht="10.5" customHeight="1">
      <c r="A1069" s="362"/>
      <c r="B1069" s="81"/>
      <c r="C1069" s="282"/>
      <c r="D1069" s="418"/>
      <c r="E1069" s="6">
        <v>8732.65</v>
      </c>
      <c r="F1069" s="4" t="s">
        <v>258</v>
      </c>
      <c r="G1069" s="337"/>
      <c r="H1069" s="337"/>
      <c r="I1069" s="329"/>
      <c r="J1069" s="329"/>
      <c r="K1069" s="329"/>
      <c r="L1069" s="329"/>
      <c r="M1069" s="329"/>
      <c r="N1069" s="329"/>
    </row>
    <row r="1070" spans="1:14" ht="11.25" customHeight="1">
      <c r="A1070" s="362"/>
      <c r="B1070" s="81"/>
      <c r="C1070" s="282"/>
      <c r="D1070" s="418"/>
      <c r="E1070" s="6">
        <v>5949.2</v>
      </c>
      <c r="F1070" s="4">
        <v>3</v>
      </c>
      <c r="G1070" s="337"/>
      <c r="H1070" s="337"/>
      <c r="I1070" s="329"/>
      <c r="J1070" s="329"/>
      <c r="K1070" s="329"/>
      <c r="L1070" s="329"/>
      <c r="M1070" s="329"/>
      <c r="N1070" s="329"/>
    </row>
    <row r="1071" spans="1:14" ht="12" customHeight="1">
      <c r="A1071" s="362"/>
      <c r="B1071" s="81"/>
      <c r="C1071" s="282"/>
      <c r="D1071" s="418"/>
      <c r="E1071" s="6">
        <v>12180</v>
      </c>
      <c r="F1071" s="4">
        <v>4</v>
      </c>
      <c r="G1071" s="337"/>
      <c r="H1071" s="337"/>
      <c r="I1071" s="329"/>
      <c r="J1071" s="329"/>
      <c r="K1071" s="329"/>
      <c r="L1071" s="329"/>
      <c r="M1071" s="329"/>
      <c r="N1071" s="329"/>
    </row>
    <row r="1072" spans="1:14" ht="11.25" customHeight="1">
      <c r="A1072" s="362"/>
      <c r="B1072" s="81"/>
      <c r="C1072" s="282"/>
      <c r="D1072" s="418"/>
      <c r="E1072" s="6">
        <f>E1067+E1068+E1070+E1071</f>
        <v>131627</v>
      </c>
      <c r="F1072" s="4">
        <v>5</v>
      </c>
      <c r="G1072" s="337"/>
      <c r="H1072" s="337"/>
      <c r="I1072" s="329"/>
      <c r="J1072" s="329"/>
      <c r="K1072" s="329"/>
      <c r="L1072" s="329"/>
      <c r="M1072" s="329"/>
      <c r="N1072" s="329"/>
    </row>
    <row r="1073" spans="1:14" ht="11.25" customHeight="1">
      <c r="A1073" s="362"/>
      <c r="B1073" s="81">
        <v>144</v>
      </c>
      <c r="C1073" s="282"/>
      <c r="D1073" s="428">
        <v>2013</v>
      </c>
      <c r="E1073" s="6">
        <v>95980.3</v>
      </c>
      <c r="F1073" s="4">
        <v>1</v>
      </c>
      <c r="G1073" s="337">
        <v>6.19</v>
      </c>
      <c r="H1073" s="337">
        <v>8145.399</v>
      </c>
      <c r="I1073" s="329">
        <v>4.129</v>
      </c>
      <c r="J1073" s="329"/>
      <c r="K1073" s="329"/>
      <c r="L1073" s="329"/>
      <c r="M1073" s="329">
        <v>2.639</v>
      </c>
      <c r="N1073" s="329"/>
    </row>
    <row r="1074" spans="1:14" ht="11.25" customHeight="1">
      <c r="A1074" s="362"/>
      <c r="B1074" s="81"/>
      <c r="C1074" s="282"/>
      <c r="D1074" s="418"/>
      <c r="E1074" s="6">
        <v>17415.1</v>
      </c>
      <c r="F1074" s="4">
        <v>2</v>
      </c>
      <c r="G1074" s="337"/>
      <c r="H1074" s="337"/>
      <c r="I1074" s="329"/>
      <c r="J1074" s="329"/>
      <c r="K1074" s="329"/>
      <c r="L1074" s="329"/>
      <c r="M1074" s="329"/>
      <c r="N1074" s="329"/>
    </row>
    <row r="1075" spans="1:14" ht="10.5" customHeight="1">
      <c r="A1075" s="362"/>
      <c r="B1075" s="81"/>
      <c r="C1075" s="282"/>
      <c r="D1075" s="418"/>
      <c r="E1075" s="6">
        <v>8707.55</v>
      </c>
      <c r="F1075" s="4" t="s">
        <v>258</v>
      </c>
      <c r="G1075" s="337"/>
      <c r="H1075" s="337"/>
      <c r="I1075" s="329"/>
      <c r="J1075" s="329"/>
      <c r="K1075" s="329"/>
      <c r="L1075" s="329"/>
      <c r="M1075" s="329"/>
      <c r="N1075" s="329"/>
    </row>
    <row r="1076" spans="1:14" ht="10.5" customHeight="1">
      <c r="A1076" s="362"/>
      <c r="B1076" s="81"/>
      <c r="C1076" s="282"/>
      <c r="D1076" s="418"/>
      <c r="E1076" s="6">
        <v>6466.7</v>
      </c>
      <c r="F1076" s="4">
        <v>3</v>
      </c>
      <c r="G1076" s="337"/>
      <c r="H1076" s="337"/>
      <c r="I1076" s="329"/>
      <c r="J1076" s="329"/>
      <c r="K1076" s="329"/>
      <c r="L1076" s="329"/>
      <c r="M1076" s="329"/>
      <c r="N1076" s="329"/>
    </row>
    <row r="1077" spans="1:14" ht="10.5" customHeight="1">
      <c r="A1077" s="362"/>
      <c r="B1077" s="81"/>
      <c r="C1077" s="282"/>
      <c r="D1077" s="418"/>
      <c r="E1077" s="6">
        <v>12180</v>
      </c>
      <c r="F1077" s="4">
        <v>4</v>
      </c>
      <c r="G1077" s="337"/>
      <c r="H1077" s="337"/>
      <c r="I1077" s="329"/>
      <c r="J1077" s="329"/>
      <c r="K1077" s="329"/>
      <c r="L1077" s="329"/>
      <c r="M1077" s="329"/>
      <c r="N1077" s="329"/>
    </row>
    <row r="1078" spans="1:14" ht="10.5" customHeight="1">
      <c r="A1078" s="362"/>
      <c r="B1078" s="81"/>
      <c r="C1078" s="282"/>
      <c r="D1078" s="418"/>
      <c r="E1078" s="6">
        <f>E1073+E1074+E1076+E1077</f>
        <v>132042.09999999998</v>
      </c>
      <c r="F1078" s="4">
        <v>5</v>
      </c>
      <c r="G1078" s="337"/>
      <c r="H1078" s="337"/>
      <c r="I1078" s="329"/>
      <c r="J1078" s="329"/>
      <c r="K1078" s="329"/>
      <c r="L1078" s="329"/>
      <c r="M1078" s="329"/>
      <c r="N1078" s="329"/>
    </row>
    <row r="1079" spans="1:14" ht="10.5" customHeight="1">
      <c r="A1079" s="362"/>
      <c r="B1079" s="81">
        <v>158</v>
      </c>
      <c r="C1079" s="282"/>
      <c r="D1079" s="428">
        <v>2014</v>
      </c>
      <c r="E1079" s="6">
        <v>96444.7</v>
      </c>
      <c r="F1079" s="4">
        <v>1</v>
      </c>
      <c r="G1079" s="337">
        <v>6.88</v>
      </c>
      <c r="H1079" s="337">
        <v>8877.649</v>
      </c>
      <c r="I1079" s="329">
        <v>4.741</v>
      </c>
      <c r="J1079" s="329"/>
      <c r="K1079" s="329"/>
      <c r="L1079" s="329"/>
      <c r="M1079" s="329">
        <v>2.639</v>
      </c>
      <c r="N1079" s="329"/>
    </row>
    <row r="1080" spans="1:14" ht="9.75" customHeight="1">
      <c r="A1080" s="362"/>
      <c r="B1080" s="81"/>
      <c r="C1080" s="282"/>
      <c r="D1080" s="418"/>
      <c r="E1080" s="6">
        <v>17538.1</v>
      </c>
      <c r="F1080" s="4">
        <v>2</v>
      </c>
      <c r="G1080" s="337"/>
      <c r="H1080" s="337"/>
      <c r="I1080" s="329"/>
      <c r="J1080" s="329"/>
      <c r="K1080" s="329"/>
      <c r="L1080" s="329"/>
      <c r="M1080" s="329"/>
      <c r="N1080" s="329"/>
    </row>
    <row r="1081" spans="1:14" ht="10.5" customHeight="1">
      <c r="A1081" s="362"/>
      <c r="B1081" s="81"/>
      <c r="C1081" s="282"/>
      <c r="D1081" s="418"/>
      <c r="E1081" s="6">
        <v>8769.05</v>
      </c>
      <c r="F1081" s="4" t="s">
        <v>258</v>
      </c>
      <c r="G1081" s="337"/>
      <c r="H1081" s="337"/>
      <c r="I1081" s="329"/>
      <c r="J1081" s="329"/>
      <c r="K1081" s="329"/>
      <c r="L1081" s="329"/>
      <c r="M1081" s="329"/>
      <c r="N1081" s="329"/>
    </row>
    <row r="1082" spans="1:14" ht="9.75" customHeight="1">
      <c r="A1082" s="362"/>
      <c r="B1082" s="81"/>
      <c r="C1082" s="282"/>
      <c r="D1082" s="418"/>
      <c r="E1082" s="6">
        <v>6399.2</v>
      </c>
      <c r="F1082" s="4">
        <v>3</v>
      </c>
      <c r="G1082" s="337"/>
      <c r="H1082" s="337"/>
      <c r="I1082" s="329"/>
      <c r="J1082" s="329"/>
      <c r="K1082" s="329"/>
      <c r="L1082" s="329"/>
      <c r="M1082" s="329"/>
      <c r="N1082" s="329"/>
    </row>
    <row r="1083" spans="1:14" ht="10.5" customHeight="1">
      <c r="A1083" s="362"/>
      <c r="B1083" s="81"/>
      <c r="C1083" s="282"/>
      <c r="D1083" s="418"/>
      <c r="E1083" s="6">
        <v>12180</v>
      </c>
      <c r="F1083" s="4">
        <v>4</v>
      </c>
      <c r="G1083" s="337"/>
      <c r="H1083" s="337"/>
      <c r="I1083" s="329"/>
      <c r="J1083" s="329"/>
      <c r="K1083" s="329"/>
      <c r="L1083" s="329"/>
      <c r="M1083" s="329"/>
      <c r="N1083" s="329"/>
    </row>
    <row r="1084" spans="1:14" ht="10.5" customHeight="1">
      <c r="A1084" s="362"/>
      <c r="B1084" s="81"/>
      <c r="C1084" s="282"/>
      <c r="D1084" s="418"/>
      <c r="E1084" s="6">
        <f>E1079+E1080+E1082+E1083</f>
        <v>132562</v>
      </c>
      <c r="F1084" s="4">
        <v>5</v>
      </c>
      <c r="G1084" s="337"/>
      <c r="H1084" s="337"/>
      <c r="I1084" s="329"/>
      <c r="J1084" s="329"/>
      <c r="K1084" s="329"/>
      <c r="L1084" s="329"/>
      <c r="M1084" s="329"/>
      <c r="N1084" s="329"/>
    </row>
    <row r="1085" spans="1:14" ht="9.75" customHeight="1">
      <c r="A1085" s="362"/>
      <c r="B1085" s="81">
        <v>158</v>
      </c>
      <c r="C1085" s="282"/>
      <c r="D1085" s="428">
        <v>2015</v>
      </c>
      <c r="E1085" s="6">
        <v>96444.7</v>
      </c>
      <c r="F1085" s="4">
        <v>1</v>
      </c>
      <c r="G1085" s="337">
        <v>6.88</v>
      </c>
      <c r="H1085" s="337">
        <v>8877.649</v>
      </c>
      <c r="I1085" s="329">
        <v>4.741</v>
      </c>
      <c r="J1085" s="329"/>
      <c r="K1085" s="329"/>
      <c r="L1085" s="329"/>
      <c r="M1085" s="329">
        <v>2.639</v>
      </c>
      <c r="N1085" s="329"/>
    </row>
    <row r="1086" spans="1:14" ht="10.5" customHeight="1">
      <c r="A1086" s="362"/>
      <c r="B1086" s="81"/>
      <c r="C1086" s="282"/>
      <c r="D1086" s="428"/>
      <c r="E1086" s="6">
        <v>17538.1</v>
      </c>
      <c r="F1086" s="4">
        <v>2</v>
      </c>
      <c r="G1086" s="337"/>
      <c r="H1086" s="337"/>
      <c r="I1086" s="329"/>
      <c r="J1086" s="329"/>
      <c r="K1086" s="329"/>
      <c r="L1086" s="329"/>
      <c r="M1086" s="329"/>
      <c r="N1086" s="329"/>
    </row>
    <row r="1087" spans="1:14" ht="10.5" customHeight="1">
      <c r="A1087" s="362"/>
      <c r="B1087" s="81"/>
      <c r="C1087" s="282"/>
      <c r="D1087" s="428"/>
      <c r="E1087" s="6">
        <v>8769.05</v>
      </c>
      <c r="F1087" s="4" t="s">
        <v>258</v>
      </c>
      <c r="G1087" s="337"/>
      <c r="H1087" s="337"/>
      <c r="I1087" s="329"/>
      <c r="J1087" s="329"/>
      <c r="K1087" s="329"/>
      <c r="L1087" s="329"/>
      <c r="M1087" s="329"/>
      <c r="N1087" s="329"/>
    </row>
    <row r="1088" spans="1:14" ht="10.5" customHeight="1">
      <c r="A1088" s="362"/>
      <c r="B1088" s="81"/>
      <c r="C1088" s="282"/>
      <c r="D1088" s="428"/>
      <c r="E1088" s="6">
        <v>6399.2</v>
      </c>
      <c r="F1088" s="4">
        <v>3</v>
      </c>
      <c r="G1088" s="337"/>
      <c r="H1088" s="337"/>
      <c r="I1088" s="329"/>
      <c r="J1088" s="329"/>
      <c r="K1088" s="329"/>
      <c r="L1088" s="329"/>
      <c r="M1088" s="329"/>
      <c r="N1088" s="329"/>
    </row>
    <row r="1089" spans="1:14" ht="10.5" customHeight="1">
      <c r="A1089" s="362"/>
      <c r="B1089" s="81"/>
      <c r="C1089" s="282"/>
      <c r="D1089" s="428"/>
      <c r="E1089" s="6">
        <v>12180</v>
      </c>
      <c r="F1089" s="4">
        <v>4</v>
      </c>
      <c r="G1089" s="337"/>
      <c r="H1089" s="337"/>
      <c r="I1089" s="329"/>
      <c r="J1089" s="329"/>
      <c r="K1089" s="329"/>
      <c r="L1089" s="329"/>
      <c r="M1089" s="329"/>
      <c r="N1089" s="329"/>
    </row>
    <row r="1090" spans="1:14" ht="10.5" customHeight="1">
      <c r="A1090" s="363"/>
      <c r="B1090" s="162"/>
      <c r="C1090" s="283"/>
      <c r="D1090" s="428"/>
      <c r="E1090" s="6">
        <f>E1085+E1086+E1088+E1089</f>
        <v>132562</v>
      </c>
      <c r="F1090" s="4">
        <v>5</v>
      </c>
      <c r="G1090" s="337"/>
      <c r="H1090" s="337"/>
      <c r="I1090" s="329"/>
      <c r="J1090" s="329"/>
      <c r="K1090" s="329"/>
      <c r="L1090" s="329"/>
      <c r="M1090" s="329"/>
      <c r="N1090" s="329"/>
    </row>
    <row r="1091" spans="1:14" ht="33" customHeight="1">
      <c r="A1091" s="428">
        <v>126</v>
      </c>
      <c r="B1091" s="164" t="s">
        <v>235</v>
      </c>
      <c r="C1091" s="322" t="s">
        <v>234</v>
      </c>
      <c r="D1091" s="17" t="s">
        <v>435</v>
      </c>
      <c r="E1091" s="175">
        <f>SUM(E1092:E1093)</f>
        <v>5890</v>
      </c>
      <c r="F1091" s="127">
        <v>1</v>
      </c>
      <c r="G1091" s="176"/>
      <c r="H1091" s="176"/>
      <c r="I1091" s="176"/>
      <c r="J1091" s="176"/>
      <c r="K1091" s="176"/>
      <c r="L1091" s="176"/>
      <c r="M1091" s="176"/>
      <c r="N1091" s="176"/>
    </row>
    <row r="1092" spans="1:14" ht="11.25" customHeight="1">
      <c r="A1092" s="429"/>
      <c r="B1092" s="18">
        <v>15</v>
      </c>
      <c r="C1092" s="319"/>
      <c r="D1092" s="125">
        <v>2011</v>
      </c>
      <c r="E1092" s="177">
        <v>2850</v>
      </c>
      <c r="F1092" s="4">
        <v>1</v>
      </c>
      <c r="G1092" s="176"/>
      <c r="H1092" s="176"/>
      <c r="I1092" s="176"/>
      <c r="J1092" s="176"/>
      <c r="K1092" s="176"/>
      <c r="L1092" s="176"/>
      <c r="M1092" s="176"/>
      <c r="N1092" s="176"/>
    </row>
    <row r="1093" spans="1:14" ht="11.25" customHeight="1">
      <c r="A1093" s="429"/>
      <c r="B1093" s="159">
        <v>16</v>
      </c>
      <c r="C1093" s="319"/>
      <c r="D1093" s="4">
        <v>2012</v>
      </c>
      <c r="E1093" s="178">
        <v>3040</v>
      </c>
      <c r="F1093" s="179">
        <v>1</v>
      </c>
      <c r="G1093" s="176"/>
      <c r="H1093" s="176"/>
      <c r="I1093" s="176"/>
      <c r="J1093" s="176"/>
      <c r="K1093" s="176"/>
      <c r="L1093" s="176"/>
      <c r="M1093" s="176"/>
      <c r="N1093" s="176"/>
    </row>
    <row r="1094" spans="1:14" ht="10.5" customHeight="1">
      <c r="A1094" s="407">
        <v>127</v>
      </c>
      <c r="B1094" s="395" t="s">
        <v>236</v>
      </c>
      <c r="C1094" s="407" t="s">
        <v>16</v>
      </c>
      <c r="D1094" s="322" t="s">
        <v>120</v>
      </c>
      <c r="E1094" s="135">
        <v>21897.68</v>
      </c>
      <c r="F1094" s="17">
        <v>1</v>
      </c>
      <c r="G1094" s="480">
        <f>SUM(G1100:G1129)</f>
        <v>5.75</v>
      </c>
      <c r="H1094" s="480">
        <f>SUM(H1100:H1129)</f>
        <v>9189.608</v>
      </c>
      <c r="I1094" s="492">
        <f>SUM(I1100:I1129)</f>
        <v>4.25</v>
      </c>
      <c r="J1094" s="492"/>
      <c r="K1094" s="492"/>
      <c r="L1094" s="492">
        <f>SUM(L1100:L1129)</f>
        <v>2.375</v>
      </c>
      <c r="M1094" s="492"/>
      <c r="N1094" s="492"/>
    </row>
    <row r="1095" spans="1:14" ht="10.5" customHeight="1">
      <c r="A1095" s="331"/>
      <c r="B1095" s="396"/>
      <c r="C1095" s="331"/>
      <c r="D1095" s="418"/>
      <c r="E1095" s="6">
        <f>E1101+E1107+E1113+E1119+E1125</f>
        <v>14337.682999999997</v>
      </c>
      <c r="F1095" s="4">
        <v>2</v>
      </c>
      <c r="G1095" s="365"/>
      <c r="H1095" s="365"/>
      <c r="I1095" s="474"/>
      <c r="J1095" s="365"/>
      <c r="K1095" s="365"/>
      <c r="L1095" s="474"/>
      <c r="M1095" s="566"/>
      <c r="N1095" s="566"/>
    </row>
    <row r="1096" spans="1:14" ht="10.5" customHeight="1">
      <c r="A1096" s="331"/>
      <c r="B1096" s="396"/>
      <c r="C1096" s="331"/>
      <c r="D1096" s="418"/>
      <c r="E1096" s="6">
        <v>7168.84</v>
      </c>
      <c r="F1096" s="4" t="s">
        <v>258</v>
      </c>
      <c r="G1096" s="365"/>
      <c r="H1096" s="365"/>
      <c r="I1096" s="474"/>
      <c r="J1096" s="365"/>
      <c r="K1096" s="365"/>
      <c r="L1096" s="474"/>
      <c r="M1096" s="566"/>
      <c r="N1096" s="566"/>
    </row>
    <row r="1097" spans="1:14" ht="10.5" customHeight="1">
      <c r="A1097" s="331"/>
      <c r="B1097" s="396"/>
      <c r="C1097" s="331"/>
      <c r="D1097" s="418"/>
      <c r="E1097" s="6">
        <f>E1103+E1109+E1115+E1121+E1127</f>
        <v>1890</v>
      </c>
      <c r="F1097" s="4">
        <v>3</v>
      </c>
      <c r="G1097" s="365"/>
      <c r="H1097" s="365"/>
      <c r="I1097" s="474"/>
      <c r="J1097" s="365"/>
      <c r="K1097" s="365"/>
      <c r="L1097" s="474"/>
      <c r="M1097" s="566"/>
      <c r="N1097" s="566"/>
    </row>
    <row r="1098" spans="1:14" ht="10.5" customHeight="1">
      <c r="A1098" s="331"/>
      <c r="B1098" s="396"/>
      <c r="C1098" s="331"/>
      <c r="D1098" s="418"/>
      <c r="E1098" s="6">
        <f>E1104+E1110+E1116+E1122+E1128</f>
        <v>13230</v>
      </c>
      <c r="F1098" s="4">
        <v>4</v>
      </c>
      <c r="G1098" s="365"/>
      <c r="H1098" s="365"/>
      <c r="I1098" s="474"/>
      <c r="J1098" s="365"/>
      <c r="K1098" s="365"/>
      <c r="L1098" s="474"/>
      <c r="M1098" s="566"/>
      <c r="N1098" s="566"/>
    </row>
    <row r="1099" spans="1:14" ht="9.75" customHeight="1">
      <c r="A1099" s="331"/>
      <c r="B1099" s="396"/>
      <c r="C1099" s="331"/>
      <c r="D1099" s="418"/>
      <c r="E1099" s="6">
        <f>E1094+E1095+E1097+E1098</f>
        <v>51355.363</v>
      </c>
      <c r="F1099" s="4">
        <v>5</v>
      </c>
      <c r="G1099" s="365"/>
      <c r="H1099" s="365"/>
      <c r="I1099" s="474"/>
      <c r="J1099" s="365"/>
      <c r="K1099" s="365"/>
      <c r="L1099" s="474"/>
      <c r="M1099" s="566"/>
      <c r="N1099" s="566"/>
    </row>
    <row r="1100" spans="1:14" ht="9.75" customHeight="1">
      <c r="A1100" s="386"/>
      <c r="B1100" s="282"/>
      <c r="C1100" s="386"/>
      <c r="D1100" s="428">
        <v>2011</v>
      </c>
      <c r="E1100" s="6">
        <v>3716.041</v>
      </c>
      <c r="F1100" s="4">
        <v>1</v>
      </c>
      <c r="G1100" s="337">
        <v>0.9</v>
      </c>
      <c r="H1100" s="337">
        <v>1267.9</v>
      </c>
      <c r="I1100" s="329">
        <v>0.65</v>
      </c>
      <c r="J1100" s="329"/>
      <c r="K1100" s="329"/>
      <c r="L1100" s="329">
        <v>0.435</v>
      </c>
      <c r="M1100" s="329"/>
      <c r="N1100" s="329"/>
    </row>
    <row r="1101" spans="1:14" ht="10.5" customHeight="1">
      <c r="A1101" s="386"/>
      <c r="B1101" s="282"/>
      <c r="C1101" s="386"/>
      <c r="D1101" s="428"/>
      <c r="E1101" s="6">
        <v>2456.04</v>
      </c>
      <c r="F1101" s="4">
        <v>2</v>
      </c>
      <c r="G1101" s="337"/>
      <c r="H1101" s="337"/>
      <c r="I1101" s="329"/>
      <c r="J1101" s="329"/>
      <c r="K1101" s="329"/>
      <c r="L1101" s="365"/>
      <c r="M1101" s="365"/>
      <c r="N1101" s="365"/>
    </row>
    <row r="1102" spans="1:14" ht="10.5" customHeight="1">
      <c r="A1102" s="386"/>
      <c r="B1102" s="282"/>
      <c r="C1102" s="386"/>
      <c r="D1102" s="428"/>
      <c r="E1102" s="6">
        <v>1228.02</v>
      </c>
      <c r="F1102" s="4" t="s">
        <v>258</v>
      </c>
      <c r="G1102" s="337"/>
      <c r="H1102" s="337"/>
      <c r="I1102" s="329"/>
      <c r="J1102" s="329"/>
      <c r="K1102" s="329"/>
      <c r="L1102" s="365"/>
      <c r="M1102" s="365"/>
      <c r="N1102" s="365"/>
    </row>
    <row r="1103" spans="1:14" ht="10.5" customHeight="1">
      <c r="A1103" s="386"/>
      <c r="B1103" s="282"/>
      <c r="C1103" s="386"/>
      <c r="D1103" s="428"/>
      <c r="E1103" s="6">
        <v>315</v>
      </c>
      <c r="F1103" s="4">
        <v>3</v>
      </c>
      <c r="G1103" s="337"/>
      <c r="H1103" s="337"/>
      <c r="I1103" s="329"/>
      <c r="J1103" s="329"/>
      <c r="K1103" s="329"/>
      <c r="L1103" s="365"/>
      <c r="M1103" s="365"/>
      <c r="N1103" s="365"/>
    </row>
    <row r="1104" spans="1:14" ht="10.5" customHeight="1">
      <c r="A1104" s="386"/>
      <c r="B1104" s="282"/>
      <c r="C1104" s="386"/>
      <c r="D1104" s="428"/>
      <c r="E1104" s="6">
        <v>2205</v>
      </c>
      <c r="F1104" s="4">
        <v>4</v>
      </c>
      <c r="G1104" s="337"/>
      <c r="H1104" s="337"/>
      <c r="I1104" s="329"/>
      <c r="J1104" s="329"/>
      <c r="K1104" s="329"/>
      <c r="L1104" s="365"/>
      <c r="M1104" s="365"/>
      <c r="N1104" s="365"/>
    </row>
    <row r="1105" spans="1:14" ht="10.5" customHeight="1">
      <c r="A1105" s="386"/>
      <c r="B1105" s="282"/>
      <c r="C1105" s="386"/>
      <c r="D1105" s="428"/>
      <c r="E1105" s="6">
        <f>E1100+E1101+E1103+E1104</f>
        <v>8692.081</v>
      </c>
      <c r="F1105" s="4">
        <v>5</v>
      </c>
      <c r="G1105" s="337"/>
      <c r="H1105" s="337"/>
      <c r="I1105" s="329"/>
      <c r="J1105" s="329"/>
      <c r="K1105" s="329"/>
      <c r="L1105" s="365"/>
      <c r="M1105" s="365"/>
      <c r="N1105" s="365"/>
    </row>
    <row r="1106" spans="1:14" ht="9.75" customHeight="1">
      <c r="A1106" s="386"/>
      <c r="B1106" s="282"/>
      <c r="C1106" s="386"/>
      <c r="D1106" s="428">
        <v>2012</v>
      </c>
      <c r="E1106" s="136">
        <v>6236.04</v>
      </c>
      <c r="F1106" s="4">
        <v>1</v>
      </c>
      <c r="G1106" s="337">
        <v>1.73</v>
      </c>
      <c r="H1106" s="337">
        <v>2768.862</v>
      </c>
      <c r="I1106" s="329">
        <v>1.32</v>
      </c>
      <c r="J1106" s="329"/>
      <c r="K1106" s="329"/>
      <c r="L1106" s="329">
        <v>0.575</v>
      </c>
      <c r="M1106" s="329"/>
      <c r="N1106" s="329"/>
    </row>
    <row r="1107" spans="1:14" ht="10.5" customHeight="1">
      <c r="A1107" s="386"/>
      <c r="B1107" s="282"/>
      <c r="C1107" s="386"/>
      <c r="D1107" s="428"/>
      <c r="E1107" s="136">
        <v>3716.04</v>
      </c>
      <c r="F1107" s="4">
        <v>2</v>
      </c>
      <c r="G1107" s="337"/>
      <c r="H1107" s="337"/>
      <c r="I1107" s="329"/>
      <c r="J1107" s="329"/>
      <c r="K1107" s="329"/>
      <c r="L1107" s="365"/>
      <c r="M1107" s="365"/>
      <c r="N1107" s="365"/>
    </row>
    <row r="1108" spans="1:14" ht="10.5" customHeight="1">
      <c r="A1108" s="386"/>
      <c r="B1108" s="282"/>
      <c r="C1108" s="386"/>
      <c r="D1108" s="428"/>
      <c r="E1108" s="136">
        <v>1858.02</v>
      </c>
      <c r="F1108" s="4" t="s">
        <v>258</v>
      </c>
      <c r="G1108" s="337"/>
      <c r="H1108" s="337"/>
      <c r="I1108" s="329"/>
      <c r="J1108" s="329"/>
      <c r="K1108" s="329"/>
      <c r="L1108" s="365"/>
      <c r="M1108" s="365"/>
      <c r="N1108" s="365"/>
    </row>
    <row r="1109" spans="1:14" ht="9.75" customHeight="1">
      <c r="A1109" s="386"/>
      <c r="B1109" s="282"/>
      <c r="C1109" s="386"/>
      <c r="D1109" s="428"/>
      <c r="E1109" s="136">
        <v>630</v>
      </c>
      <c r="F1109" s="4">
        <v>3</v>
      </c>
      <c r="G1109" s="337"/>
      <c r="H1109" s="337"/>
      <c r="I1109" s="329"/>
      <c r="J1109" s="329"/>
      <c r="K1109" s="329"/>
      <c r="L1109" s="365"/>
      <c r="M1109" s="365"/>
      <c r="N1109" s="365"/>
    </row>
    <row r="1110" spans="1:14" ht="11.25" customHeight="1">
      <c r="A1110" s="386"/>
      <c r="B1110" s="282"/>
      <c r="C1110" s="386"/>
      <c r="D1110" s="428"/>
      <c r="E1110" s="136">
        <v>4410</v>
      </c>
      <c r="F1110" s="4">
        <v>4</v>
      </c>
      <c r="G1110" s="337"/>
      <c r="H1110" s="337"/>
      <c r="I1110" s="329"/>
      <c r="J1110" s="329"/>
      <c r="K1110" s="329"/>
      <c r="L1110" s="365"/>
      <c r="M1110" s="365"/>
      <c r="N1110" s="365"/>
    </row>
    <row r="1111" spans="1:14" ht="9.75" customHeight="1">
      <c r="A1111" s="387"/>
      <c r="B1111" s="283"/>
      <c r="C1111" s="387"/>
      <c r="D1111" s="428"/>
      <c r="E1111" s="136">
        <f>E1106+E1107+E1109+E1110</f>
        <v>14992.08</v>
      </c>
      <c r="F1111" s="4">
        <v>5</v>
      </c>
      <c r="G1111" s="337"/>
      <c r="H1111" s="337"/>
      <c r="I1111" s="329"/>
      <c r="J1111" s="329"/>
      <c r="K1111" s="329"/>
      <c r="L1111" s="365"/>
      <c r="M1111" s="365"/>
      <c r="N1111" s="365"/>
    </row>
    <row r="1112" spans="1:14" ht="9.75" customHeight="1">
      <c r="A1112" s="163"/>
      <c r="B1112" s="163"/>
      <c r="C1112" s="163"/>
      <c r="D1112" s="428">
        <v>2013</v>
      </c>
      <c r="E1112" s="136">
        <v>3716.041</v>
      </c>
      <c r="F1112" s="4">
        <v>1</v>
      </c>
      <c r="G1112" s="337">
        <v>1.04</v>
      </c>
      <c r="H1112" s="337">
        <v>1674.462</v>
      </c>
      <c r="I1112" s="329">
        <v>0.76</v>
      </c>
      <c r="J1112" s="329"/>
      <c r="K1112" s="329"/>
      <c r="L1112" s="329">
        <v>0.455</v>
      </c>
      <c r="M1112" s="329"/>
      <c r="N1112" s="329"/>
    </row>
    <row r="1113" spans="1:14" ht="9.75" customHeight="1">
      <c r="A1113" s="128"/>
      <c r="B1113" s="128"/>
      <c r="C1113" s="128"/>
      <c r="D1113" s="428"/>
      <c r="E1113" s="136">
        <v>2456.041</v>
      </c>
      <c r="F1113" s="4">
        <v>2</v>
      </c>
      <c r="G1113" s="337"/>
      <c r="H1113" s="365"/>
      <c r="I1113" s="329"/>
      <c r="J1113" s="329"/>
      <c r="K1113" s="329"/>
      <c r="L1113" s="365"/>
      <c r="M1113" s="365"/>
      <c r="N1113" s="365"/>
    </row>
    <row r="1114" spans="1:14" ht="10.5" customHeight="1">
      <c r="A1114" s="128"/>
      <c r="B1114" s="128"/>
      <c r="C1114" s="128"/>
      <c r="D1114" s="428"/>
      <c r="E1114" s="136">
        <v>1228.02</v>
      </c>
      <c r="F1114" s="4" t="s">
        <v>258</v>
      </c>
      <c r="G1114" s="337"/>
      <c r="H1114" s="365"/>
      <c r="I1114" s="329"/>
      <c r="J1114" s="329"/>
      <c r="K1114" s="329"/>
      <c r="L1114" s="365"/>
      <c r="M1114" s="365"/>
      <c r="N1114" s="365"/>
    </row>
    <row r="1115" spans="1:14" ht="9.75" customHeight="1">
      <c r="A1115" s="128"/>
      <c r="B1115" s="128"/>
      <c r="C1115" s="128"/>
      <c r="D1115" s="428"/>
      <c r="E1115" s="136">
        <v>315</v>
      </c>
      <c r="F1115" s="4">
        <v>3</v>
      </c>
      <c r="G1115" s="337"/>
      <c r="H1115" s="365"/>
      <c r="I1115" s="329"/>
      <c r="J1115" s="329"/>
      <c r="K1115" s="329"/>
      <c r="L1115" s="365"/>
      <c r="M1115" s="365"/>
      <c r="N1115" s="365"/>
    </row>
    <row r="1116" spans="1:14" ht="10.5" customHeight="1">
      <c r="A1116" s="128"/>
      <c r="B1116" s="128"/>
      <c r="C1116" s="128"/>
      <c r="D1116" s="428"/>
      <c r="E1116" s="136">
        <v>2205</v>
      </c>
      <c r="F1116" s="4">
        <v>4</v>
      </c>
      <c r="G1116" s="337"/>
      <c r="H1116" s="365"/>
      <c r="I1116" s="329"/>
      <c r="J1116" s="329"/>
      <c r="K1116" s="329"/>
      <c r="L1116" s="365"/>
      <c r="M1116" s="365"/>
      <c r="N1116" s="365"/>
    </row>
    <row r="1117" spans="1:14" ht="10.5" customHeight="1">
      <c r="A1117" s="128"/>
      <c r="B1117" s="128"/>
      <c r="C1117" s="128"/>
      <c r="D1117" s="428"/>
      <c r="E1117" s="136">
        <f>E1112+E1113+E1115+E1116</f>
        <v>8692.082</v>
      </c>
      <c r="F1117" s="4">
        <v>5</v>
      </c>
      <c r="G1117" s="337"/>
      <c r="H1117" s="365"/>
      <c r="I1117" s="329"/>
      <c r="J1117" s="329"/>
      <c r="K1117" s="329"/>
      <c r="L1117" s="365"/>
      <c r="M1117" s="365"/>
      <c r="N1117" s="365"/>
    </row>
    <row r="1118" spans="1:14" ht="9.75" customHeight="1">
      <c r="A1118" s="128"/>
      <c r="B1118" s="128"/>
      <c r="C1118" s="128"/>
      <c r="D1118" s="428">
        <v>2014</v>
      </c>
      <c r="E1118" s="136">
        <v>4114.781</v>
      </c>
      <c r="F1118" s="4">
        <v>1</v>
      </c>
      <c r="G1118" s="337">
        <v>1.04</v>
      </c>
      <c r="H1118" s="337">
        <v>1739.192</v>
      </c>
      <c r="I1118" s="329">
        <v>0.76</v>
      </c>
      <c r="J1118" s="329"/>
      <c r="K1118" s="329"/>
      <c r="L1118" s="329">
        <v>0.455</v>
      </c>
      <c r="M1118" s="329"/>
      <c r="N1118" s="329"/>
    </row>
    <row r="1119" spans="1:14" ht="10.5" customHeight="1">
      <c r="A1119" s="128"/>
      <c r="B1119" s="128"/>
      <c r="C1119" s="128"/>
      <c r="D1119" s="428"/>
      <c r="E1119" s="136">
        <v>2854.781</v>
      </c>
      <c r="F1119" s="4">
        <v>2</v>
      </c>
      <c r="G1119" s="365"/>
      <c r="H1119" s="365"/>
      <c r="I1119" s="365"/>
      <c r="J1119" s="329"/>
      <c r="K1119" s="329"/>
      <c r="L1119" s="365"/>
      <c r="M1119" s="365"/>
      <c r="N1119" s="365"/>
    </row>
    <row r="1120" spans="1:14" ht="10.5" customHeight="1">
      <c r="A1120" s="128"/>
      <c r="B1120" s="128"/>
      <c r="C1120" s="128"/>
      <c r="D1120" s="428"/>
      <c r="E1120" s="136">
        <v>1427.39</v>
      </c>
      <c r="F1120" s="4" t="s">
        <v>258</v>
      </c>
      <c r="G1120" s="365"/>
      <c r="H1120" s="365"/>
      <c r="I1120" s="365"/>
      <c r="J1120" s="329"/>
      <c r="K1120" s="329"/>
      <c r="L1120" s="365"/>
      <c r="M1120" s="365"/>
      <c r="N1120" s="365"/>
    </row>
    <row r="1121" spans="1:14" ht="10.5" customHeight="1">
      <c r="A1121" s="128"/>
      <c r="B1121" s="128"/>
      <c r="C1121" s="128"/>
      <c r="D1121" s="428"/>
      <c r="E1121" s="136">
        <v>315</v>
      </c>
      <c r="F1121" s="4">
        <v>3</v>
      </c>
      <c r="G1121" s="365"/>
      <c r="H1121" s="365"/>
      <c r="I1121" s="365"/>
      <c r="J1121" s="329"/>
      <c r="K1121" s="329"/>
      <c r="L1121" s="365"/>
      <c r="M1121" s="365"/>
      <c r="N1121" s="365"/>
    </row>
    <row r="1122" spans="1:14" ht="10.5" customHeight="1">
      <c r="A1122" s="128"/>
      <c r="B1122" s="128"/>
      <c r="C1122" s="128"/>
      <c r="D1122" s="428"/>
      <c r="E1122" s="136">
        <v>2205</v>
      </c>
      <c r="F1122" s="4">
        <v>4</v>
      </c>
      <c r="G1122" s="365"/>
      <c r="H1122" s="365"/>
      <c r="I1122" s="365"/>
      <c r="J1122" s="329"/>
      <c r="K1122" s="329"/>
      <c r="L1122" s="365"/>
      <c r="M1122" s="365"/>
      <c r="N1122" s="365"/>
    </row>
    <row r="1123" spans="1:14" ht="10.5" customHeight="1">
      <c r="A1123" s="128"/>
      <c r="B1123" s="128"/>
      <c r="C1123" s="128"/>
      <c r="D1123" s="428"/>
      <c r="E1123" s="136">
        <f>E1118+E1119+E1121+E1122</f>
        <v>9489.562</v>
      </c>
      <c r="F1123" s="4">
        <v>5</v>
      </c>
      <c r="G1123" s="365"/>
      <c r="H1123" s="365"/>
      <c r="I1123" s="365"/>
      <c r="J1123" s="329"/>
      <c r="K1123" s="329"/>
      <c r="L1123" s="365"/>
      <c r="M1123" s="365"/>
      <c r="N1123" s="365"/>
    </row>
    <row r="1124" spans="1:14" ht="10.5" customHeight="1">
      <c r="A1124" s="128"/>
      <c r="B1124" s="128"/>
      <c r="C1124" s="128"/>
      <c r="D1124" s="428">
        <v>2015</v>
      </c>
      <c r="E1124" s="136">
        <v>4114.781</v>
      </c>
      <c r="F1124" s="4">
        <v>1</v>
      </c>
      <c r="G1124" s="337">
        <v>1.04</v>
      </c>
      <c r="H1124" s="337">
        <v>1739.192</v>
      </c>
      <c r="I1124" s="329">
        <v>0.76</v>
      </c>
      <c r="J1124" s="329"/>
      <c r="K1124" s="329"/>
      <c r="L1124" s="329">
        <v>0.455</v>
      </c>
      <c r="M1124" s="329"/>
      <c r="N1124" s="329"/>
    </row>
    <row r="1125" spans="1:14" ht="10.5" customHeight="1">
      <c r="A1125" s="128"/>
      <c r="B1125" s="128"/>
      <c r="C1125" s="128"/>
      <c r="D1125" s="428"/>
      <c r="E1125" s="136">
        <v>2854.781</v>
      </c>
      <c r="F1125" s="4">
        <v>2</v>
      </c>
      <c r="G1125" s="365"/>
      <c r="H1125" s="365"/>
      <c r="I1125" s="365"/>
      <c r="J1125" s="329"/>
      <c r="K1125" s="329"/>
      <c r="L1125" s="365"/>
      <c r="M1125" s="329"/>
      <c r="N1125" s="329"/>
    </row>
    <row r="1126" spans="1:14" ht="10.5" customHeight="1">
      <c r="A1126" s="128"/>
      <c r="B1126" s="128"/>
      <c r="C1126" s="128"/>
      <c r="D1126" s="428"/>
      <c r="E1126" s="136">
        <v>1427.39</v>
      </c>
      <c r="F1126" s="4" t="s">
        <v>258</v>
      </c>
      <c r="G1126" s="365"/>
      <c r="H1126" s="365"/>
      <c r="I1126" s="365"/>
      <c r="J1126" s="329"/>
      <c r="K1126" s="329"/>
      <c r="L1126" s="365"/>
      <c r="M1126" s="329"/>
      <c r="N1126" s="329"/>
    </row>
    <row r="1127" spans="1:14" ht="10.5" customHeight="1">
      <c r="A1127" s="128"/>
      <c r="B1127" s="128"/>
      <c r="C1127" s="128"/>
      <c r="D1127" s="428"/>
      <c r="E1127" s="136">
        <v>315</v>
      </c>
      <c r="F1127" s="4">
        <v>3</v>
      </c>
      <c r="G1127" s="365"/>
      <c r="H1127" s="365"/>
      <c r="I1127" s="365"/>
      <c r="J1127" s="329"/>
      <c r="K1127" s="329"/>
      <c r="L1127" s="365"/>
      <c r="M1127" s="329"/>
      <c r="N1127" s="329"/>
    </row>
    <row r="1128" spans="1:14" ht="10.5" customHeight="1">
      <c r="A1128" s="128"/>
      <c r="B1128" s="128"/>
      <c r="C1128" s="128"/>
      <c r="D1128" s="428"/>
      <c r="E1128" s="136">
        <v>2205</v>
      </c>
      <c r="F1128" s="4">
        <v>4</v>
      </c>
      <c r="G1128" s="365"/>
      <c r="H1128" s="365"/>
      <c r="I1128" s="365"/>
      <c r="J1128" s="329"/>
      <c r="K1128" s="329"/>
      <c r="L1128" s="365"/>
      <c r="M1128" s="329"/>
      <c r="N1128" s="329"/>
    </row>
    <row r="1129" spans="1:14" ht="10.5" customHeight="1">
      <c r="A1129" s="130"/>
      <c r="B1129" s="128"/>
      <c r="C1129" s="130"/>
      <c r="D1129" s="428"/>
      <c r="E1129" s="136">
        <f>E1124+E1125+E1127+E1128</f>
        <v>9489.562</v>
      </c>
      <c r="F1129" s="4">
        <v>5</v>
      </c>
      <c r="G1129" s="365"/>
      <c r="H1129" s="365"/>
      <c r="I1129" s="365"/>
      <c r="J1129" s="329"/>
      <c r="K1129" s="329"/>
      <c r="L1129" s="365"/>
      <c r="M1129" s="329"/>
      <c r="N1129" s="329"/>
    </row>
    <row r="1130" spans="1:14" ht="10.5" customHeight="1">
      <c r="A1130" s="401">
        <v>128</v>
      </c>
      <c r="B1130" s="395" t="s">
        <v>354</v>
      </c>
      <c r="C1130" s="634" t="s">
        <v>17</v>
      </c>
      <c r="D1130" s="322" t="s">
        <v>120</v>
      </c>
      <c r="E1130" s="135">
        <f>E1136+E1142+E1148+E1154+E1160</f>
        <v>26216</v>
      </c>
      <c r="F1130" s="17">
        <v>1</v>
      </c>
      <c r="G1130" s="480">
        <f>G1136+G1142+G1148+G1154+G1160</f>
        <v>4.43</v>
      </c>
      <c r="H1130" s="480">
        <f>SUM(H1136:H1165)</f>
        <v>5627.4</v>
      </c>
      <c r="I1130" s="492">
        <f>SUM(I1136:I1165)</f>
        <v>2.976</v>
      </c>
      <c r="J1130" s="492"/>
      <c r="K1130" s="492"/>
      <c r="L1130" s="492">
        <f>SUM(L1136:L1165)</f>
        <v>2.8119999999999994</v>
      </c>
      <c r="M1130" s="492"/>
      <c r="N1130" s="492"/>
    </row>
    <row r="1131" spans="1:14" ht="10.5" customHeight="1">
      <c r="A1131" s="394"/>
      <c r="B1131" s="396"/>
      <c r="C1131" s="311"/>
      <c r="D1131" s="418"/>
      <c r="E1131" s="6">
        <f>E1137+E1143+E1149+E1155+E1161</f>
        <v>9732</v>
      </c>
      <c r="F1131" s="4">
        <v>2</v>
      </c>
      <c r="G1131" s="565"/>
      <c r="H1131" s="565"/>
      <c r="I1131" s="565"/>
      <c r="J1131" s="565"/>
      <c r="K1131" s="565"/>
      <c r="L1131" s="565"/>
      <c r="M1131" s="565"/>
      <c r="N1131" s="565"/>
    </row>
    <row r="1132" spans="1:14" ht="10.5" customHeight="1">
      <c r="A1132" s="394"/>
      <c r="B1132" s="396"/>
      <c r="C1132" s="311"/>
      <c r="D1132" s="418"/>
      <c r="E1132" s="6">
        <v>13186.5</v>
      </c>
      <c r="F1132" s="4" t="s">
        <v>258</v>
      </c>
      <c r="G1132" s="565"/>
      <c r="H1132" s="565"/>
      <c r="I1132" s="565"/>
      <c r="J1132" s="565"/>
      <c r="K1132" s="565"/>
      <c r="L1132" s="565"/>
      <c r="M1132" s="565"/>
      <c r="N1132" s="565"/>
    </row>
    <row r="1133" spans="1:14" ht="10.5" customHeight="1">
      <c r="A1133" s="394"/>
      <c r="B1133" s="396"/>
      <c r="C1133" s="311"/>
      <c r="D1133" s="418"/>
      <c r="E1133" s="6">
        <v>8004</v>
      </c>
      <c r="F1133" s="4">
        <v>3</v>
      </c>
      <c r="G1133" s="565"/>
      <c r="H1133" s="565"/>
      <c r="I1133" s="565"/>
      <c r="J1133" s="565"/>
      <c r="K1133" s="565"/>
      <c r="L1133" s="565"/>
      <c r="M1133" s="565"/>
      <c r="N1133" s="565"/>
    </row>
    <row r="1134" spans="1:14" ht="10.5" customHeight="1">
      <c r="A1134" s="394"/>
      <c r="B1134" s="396"/>
      <c r="C1134" s="311"/>
      <c r="D1134" s="418"/>
      <c r="E1134" s="6">
        <f>E1140+E1146+E1152+E1158+E1164</f>
        <v>3528</v>
      </c>
      <c r="F1134" s="4">
        <v>4</v>
      </c>
      <c r="G1134" s="565"/>
      <c r="H1134" s="565"/>
      <c r="I1134" s="565"/>
      <c r="J1134" s="565"/>
      <c r="K1134" s="565"/>
      <c r="L1134" s="565"/>
      <c r="M1134" s="565"/>
      <c r="N1134" s="565"/>
    </row>
    <row r="1135" spans="1:14" ht="10.5" customHeight="1">
      <c r="A1135" s="394"/>
      <c r="B1135" s="396"/>
      <c r="C1135" s="311"/>
      <c r="D1135" s="418"/>
      <c r="E1135" s="6">
        <f>E1130+E1131+E1133+E1134</f>
        <v>47480</v>
      </c>
      <c r="F1135" s="4">
        <v>5</v>
      </c>
      <c r="G1135" s="565"/>
      <c r="H1135" s="565"/>
      <c r="I1135" s="565"/>
      <c r="J1135" s="565"/>
      <c r="K1135" s="565"/>
      <c r="L1135" s="565"/>
      <c r="M1135" s="565"/>
      <c r="N1135" s="565"/>
    </row>
    <row r="1136" spans="1:14" ht="10.5" customHeight="1">
      <c r="A1136" s="394"/>
      <c r="B1136" s="81">
        <v>21</v>
      </c>
      <c r="C1136" s="311"/>
      <c r="D1136" s="428">
        <v>2011</v>
      </c>
      <c r="E1136" s="6">
        <v>5543</v>
      </c>
      <c r="F1136" s="4">
        <v>1</v>
      </c>
      <c r="G1136" s="337">
        <v>0.86</v>
      </c>
      <c r="H1136" s="337">
        <v>1098.6</v>
      </c>
      <c r="I1136" s="329">
        <v>0.576</v>
      </c>
      <c r="J1136" s="329"/>
      <c r="K1136" s="329"/>
      <c r="L1136" s="329">
        <v>0.558</v>
      </c>
      <c r="M1136" s="329"/>
      <c r="N1136" s="329"/>
    </row>
    <row r="1137" spans="1:14" ht="9.75" customHeight="1">
      <c r="A1137" s="394"/>
      <c r="B1137" s="81"/>
      <c r="C1137" s="311"/>
      <c r="D1137" s="418"/>
      <c r="E1137" s="6">
        <v>1877</v>
      </c>
      <c r="F1137" s="4">
        <v>2</v>
      </c>
      <c r="G1137" s="565"/>
      <c r="H1137" s="565"/>
      <c r="I1137" s="565"/>
      <c r="J1137" s="365"/>
      <c r="K1137" s="365"/>
      <c r="L1137" s="365"/>
      <c r="M1137" s="365"/>
      <c r="N1137" s="365"/>
    </row>
    <row r="1138" spans="1:14" ht="10.5" customHeight="1">
      <c r="A1138" s="394"/>
      <c r="B1138" s="81"/>
      <c r="C1138" s="311"/>
      <c r="D1138" s="418"/>
      <c r="E1138" s="6">
        <v>938.5</v>
      </c>
      <c r="F1138" s="4" t="s">
        <v>258</v>
      </c>
      <c r="G1138" s="565"/>
      <c r="H1138" s="565"/>
      <c r="I1138" s="565"/>
      <c r="J1138" s="365"/>
      <c r="K1138" s="365"/>
      <c r="L1138" s="365"/>
      <c r="M1138" s="365"/>
      <c r="N1138" s="365"/>
    </row>
    <row r="1139" spans="1:14" ht="10.5" customHeight="1">
      <c r="A1139" s="394"/>
      <c r="B1139" s="81"/>
      <c r="C1139" s="311"/>
      <c r="D1139" s="418"/>
      <c r="E1139" s="6">
        <v>1560</v>
      </c>
      <c r="F1139" s="4">
        <v>3</v>
      </c>
      <c r="G1139" s="565"/>
      <c r="H1139" s="565"/>
      <c r="I1139" s="565"/>
      <c r="J1139" s="365"/>
      <c r="K1139" s="365"/>
      <c r="L1139" s="365"/>
      <c r="M1139" s="365"/>
      <c r="N1139" s="365"/>
    </row>
    <row r="1140" spans="1:14" ht="10.5" customHeight="1">
      <c r="A1140" s="394"/>
      <c r="B1140" s="81"/>
      <c r="C1140" s="311"/>
      <c r="D1140" s="418"/>
      <c r="E1140" s="6">
        <v>420</v>
      </c>
      <c r="F1140" s="4">
        <v>4</v>
      </c>
      <c r="G1140" s="565"/>
      <c r="H1140" s="565"/>
      <c r="I1140" s="565"/>
      <c r="J1140" s="365"/>
      <c r="K1140" s="365"/>
      <c r="L1140" s="365"/>
      <c r="M1140" s="365"/>
      <c r="N1140" s="365"/>
    </row>
    <row r="1141" spans="1:14" ht="10.5" customHeight="1">
      <c r="A1141" s="394"/>
      <c r="B1141" s="81"/>
      <c r="C1141" s="311"/>
      <c r="D1141" s="418"/>
      <c r="E1141" s="6">
        <f>E1136+E1137+E1139+E1140</f>
        <v>9400</v>
      </c>
      <c r="F1141" s="4">
        <v>5</v>
      </c>
      <c r="G1141" s="565"/>
      <c r="H1141" s="565"/>
      <c r="I1141" s="565"/>
      <c r="J1141" s="365"/>
      <c r="K1141" s="365"/>
      <c r="L1141" s="365"/>
      <c r="M1141" s="365"/>
      <c r="N1141" s="365"/>
    </row>
    <row r="1142" spans="1:14" ht="10.5" customHeight="1">
      <c r="A1142" s="394"/>
      <c r="B1142" s="81">
        <v>38</v>
      </c>
      <c r="C1142" s="311"/>
      <c r="D1142" s="428">
        <v>2012</v>
      </c>
      <c r="E1142" s="6">
        <v>5412</v>
      </c>
      <c r="F1142" s="4">
        <v>1</v>
      </c>
      <c r="G1142" s="337">
        <v>0.95</v>
      </c>
      <c r="H1142" s="337">
        <v>1209.4</v>
      </c>
      <c r="I1142" s="329">
        <v>0.639</v>
      </c>
      <c r="J1142" s="329"/>
      <c r="K1142" s="329"/>
      <c r="L1142" s="329">
        <v>0.6</v>
      </c>
      <c r="M1142" s="329"/>
      <c r="N1142" s="329"/>
    </row>
    <row r="1143" spans="1:14" ht="10.5" customHeight="1">
      <c r="A1143" s="394"/>
      <c r="B1143" s="81"/>
      <c r="C1143" s="311"/>
      <c r="D1143" s="428"/>
      <c r="E1143" s="6">
        <v>2176</v>
      </c>
      <c r="F1143" s="4">
        <v>2</v>
      </c>
      <c r="G1143" s="337"/>
      <c r="H1143" s="337"/>
      <c r="I1143" s="329"/>
      <c r="J1143" s="329"/>
      <c r="K1143" s="329"/>
      <c r="L1143" s="329"/>
      <c r="M1143" s="329"/>
      <c r="N1143" s="329"/>
    </row>
    <row r="1144" spans="1:14" ht="10.5" customHeight="1">
      <c r="A1144" s="394"/>
      <c r="B1144" s="81"/>
      <c r="C1144" s="311"/>
      <c r="D1144" s="428"/>
      <c r="E1144" s="6">
        <v>1088</v>
      </c>
      <c r="F1144" s="4" t="s">
        <v>258</v>
      </c>
      <c r="G1144" s="337"/>
      <c r="H1144" s="337"/>
      <c r="I1144" s="329"/>
      <c r="J1144" s="329"/>
      <c r="K1144" s="329"/>
      <c r="L1144" s="329"/>
      <c r="M1144" s="329"/>
      <c r="N1144" s="329"/>
    </row>
    <row r="1145" spans="1:14" ht="10.5" customHeight="1">
      <c r="A1145" s="394"/>
      <c r="B1145" s="81"/>
      <c r="C1145" s="311"/>
      <c r="D1145" s="428"/>
      <c r="E1145" s="6">
        <v>1674</v>
      </c>
      <c r="F1145" s="4">
        <v>3</v>
      </c>
      <c r="G1145" s="337"/>
      <c r="H1145" s="337"/>
      <c r="I1145" s="329"/>
      <c r="J1145" s="329"/>
      <c r="K1145" s="329"/>
      <c r="L1145" s="329"/>
      <c r="M1145" s="329"/>
      <c r="N1145" s="329"/>
    </row>
    <row r="1146" spans="1:14" ht="9.75" customHeight="1">
      <c r="A1146" s="394"/>
      <c r="B1146" s="81"/>
      <c r="C1146" s="311"/>
      <c r="D1146" s="428"/>
      <c r="E1146" s="6">
        <v>1218</v>
      </c>
      <c r="F1146" s="4">
        <v>4</v>
      </c>
      <c r="G1146" s="337"/>
      <c r="H1146" s="337"/>
      <c r="I1146" s="329"/>
      <c r="J1146" s="329"/>
      <c r="K1146" s="329"/>
      <c r="L1146" s="329"/>
      <c r="M1146" s="329"/>
      <c r="N1146" s="329"/>
    </row>
    <row r="1147" spans="1:14" ht="9.75" customHeight="1">
      <c r="A1147" s="394"/>
      <c r="B1147" s="81"/>
      <c r="C1147" s="311"/>
      <c r="D1147" s="428"/>
      <c r="E1147" s="6">
        <f>E1142+E1143+E1145+E1146</f>
        <v>10480</v>
      </c>
      <c r="F1147" s="4">
        <v>5</v>
      </c>
      <c r="G1147" s="337"/>
      <c r="H1147" s="337"/>
      <c r="I1147" s="329"/>
      <c r="J1147" s="329"/>
      <c r="K1147" s="329"/>
      <c r="L1147" s="329"/>
      <c r="M1147" s="329"/>
      <c r="N1147" s="329"/>
    </row>
    <row r="1148" spans="1:14" ht="9.75" customHeight="1">
      <c r="A1148" s="394"/>
      <c r="B1148" s="81">
        <v>17</v>
      </c>
      <c r="C1148" s="311"/>
      <c r="D1148" s="428">
        <v>2013</v>
      </c>
      <c r="E1148" s="6">
        <v>5243</v>
      </c>
      <c r="F1148" s="4">
        <v>1</v>
      </c>
      <c r="G1148" s="337">
        <v>0.9</v>
      </c>
      <c r="H1148" s="337">
        <v>1144.6</v>
      </c>
      <c r="I1148" s="329">
        <v>0.607</v>
      </c>
      <c r="J1148" s="329"/>
      <c r="K1148" s="329"/>
      <c r="L1148" s="329">
        <v>0.57</v>
      </c>
      <c r="M1148" s="329"/>
      <c r="N1148" s="329"/>
    </row>
    <row r="1149" spans="1:14" ht="10.5" customHeight="1">
      <c r="A1149" s="394"/>
      <c r="B1149" s="81"/>
      <c r="C1149" s="311"/>
      <c r="D1149" s="428"/>
      <c r="E1149" s="6">
        <v>1849</v>
      </c>
      <c r="F1149" s="4">
        <v>2</v>
      </c>
      <c r="G1149" s="337"/>
      <c r="H1149" s="337"/>
      <c r="I1149" s="329"/>
      <c r="J1149" s="329"/>
      <c r="K1149" s="329"/>
      <c r="L1149" s="329"/>
      <c r="M1149" s="329"/>
      <c r="N1149" s="329"/>
    </row>
    <row r="1150" spans="1:14" ht="10.5" customHeight="1">
      <c r="A1150" s="394"/>
      <c r="B1150" s="81"/>
      <c r="C1150" s="311"/>
      <c r="D1150" s="428"/>
      <c r="E1150" s="6">
        <v>9245</v>
      </c>
      <c r="F1150" s="4" t="s">
        <v>258</v>
      </c>
      <c r="G1150" s="337"/>
      <c r="H1150" s="337"/>
      <c r="I1150" s="329"/>
      <c r="J1150" s="329"/>
      <c r="K1150" s="329"/>
      <c r="L1150" s="329"/>
      <c r="M1150" s="329"/>
      <c r="N1150" s="329"/>
    </row>
    <row r="1151" spans="1:14" ht="10.5" customHeight="1">
      <c r="A1151" s="394"/>
      <c r="B1151" s="81"/>
      <c r="C1151" s="311"/>
      <c r="D1151" s="428"/>
      <c r="E1151" s="6">
        <v>1566</v>
      </c>
      <c r="F1151" s="4">
        <v>3</v>
      </c>
      <c r="G1151" s="337"/>
      <c r="H1151" s="337"/>
      <c r="I1151" s="329"/>
      <c r="J1151" s="329"/>
      <c r="K1151" s="329"/>
      <c r="L1151" s="329"/>
      <c r="M1151" s="329"/>
      <c r="N1151" s="329"/>
    </row>
    <row r="1152" spans="1:14" ht="10.5" customHeight="1">
      <c r="A1152" s="394"/>
      <c r="B1152" s="81"/>
      <c r="C1152" s="311"/>
      <c r="D1152" s="428"/>
      <c r="E1152" s="6">
        <v>462</v>
      </c>
      <c r="F1152" s="4">
        <v>4</v>
      </c>
      <c r="G1152" s="337"/>
      <c r="H1152" s="337"/>
      <c r="I1152" s="329"/>
      <c r="J1152" s="329"/>
      <c r="K1152" s="329"/>
      <c r="L1152" s="329"/>
      <c r="M1152" s="329"/>
      <c r="N1152" s="329"/>
    </row>
    <row r="1153" spans="1:14" ht="9.75" customHeight="1">
      <c r="A1153" s="394"/>
      <c r="B1153" s="81"/>
      <c r="C1153" s="311"/>
      <c r="D1153" s="428"/>
      <c r="E1153" s="6">
        <f>E1148+E1149+E1151+E1152</f>
        <v>9120</v>
      </c>
      <c r="F1153" s="4">
        <v>5</v>
      </c>
      <c r="G1153" s="337"/>
      <c r="H1153" s="337"/>
      <c r="I1153" s="329"/>
      <c r="J1153" s="329"/>
      <c r="K1153" s="329"/>
      <c r="L1153" s="329"/>
      <c r="M1153" s="329"/>
      <c r="N1153" s="329"/>
    </row>
    <row r="1154" spans="1:14" ht="10.5" customHeight="1">
      <c r="A1154" s="394"/>
      <c r="B1154" s="81">
        <v>27</v>
      </c>
      <c r="C1154" s="311"/>
      <c r="D1154" s="428">
        <v>2014</v>
      </c>
      <c r="E1154" s="6">
        <v>5009</v>
      </c>
      <c r="F1154" s="4">
        <v>1</v>
      </c>
      <c r="G1154" s="337">
        <v>0.86</v>
      </c>
      <c r="H1154" s="337">
        <v>1087.4</v>
      </c>
      <c r="I1154" s="329">
        <v>0.577</v>
      </c>
      <c r="J1154" s="329"/>
      <c r="K1154" s="329"/>
      <c r="L1154" s="329">
        <v>0.542</v>
      </c>
      <c r="M1154" s="329"/>
      <c r="N1154" s="329"/>
    </row>
    <row r="1155" spans="1:14" ht="9" customHeight="1">
      <c r="A1155" s="394"/>
      <c r="B1155" s="81"/>
      <c r="C1155" s="311"/>
      <c r="D1155" s="428"/>
      <c r="E1155" s="6">
        <v>1915</v>
      </c>
      <c r="F1155" s="4">
        <v>2</v>
      </c>
      <c r="G1155" s="337"/>
      <c r="H1155" s="337"/>
      <c r="I1155" s="329"/>
      <c r="J1155" s="329"/>
      <c r="K1155" s="329"/>
      <c r="L1155" s="329"/>
      <c r="M1155" s="329"/>
      <c r="N1155" s="329"/>
    </row>
    <row r="1156" spans="1:14" ht="10.5" customHeight="1">
      <c r="A1156" s="394"/>
      <c r="B1156" s="81"/>
      <c r="C1156" s="311"/>
      <c r="D1156" s="428"/>
      <c r="E1156" s="6">
        <v>957.5</v>
      </c>
      <c r="F1156" s="4" t="s">
        <v>258</v>
      </c>
      <c r="G1156" s="337"/>
      <c r="H1156" s="337"/>
      <c r="I1156" s="329"/>
      <c r="J1156" s="329"/>
      <c r="K1156" s="329"/>
      <c r="L1156" s="329"/>
      <c r="M1156" s="329"/>
      <c r="N1156" s="329"/>
    </row>
    <row r="1157" spans="1:14" ht="9.75" customHeight="1">
      <c r="A1157" s="394"/>
      <c r="B1157" s="81"/>
      <c r="C1157" s="311"/>
      <c r="D1157" s="428"/>
      <c r="E1157" s="6">
        <v>1602</v>
      </c>
      <c r="F1157" s="4">
        <v>3</v>
      </c>
      <c r="G1157" s="337"/>
      <c r="H1157" s="337"/>
      <c r="I1157" s="329"/>
      <c r="J1157" s="329"/>
      <c r="K1157" s="329"/>
      <c r="L1157" s="329"/>
      <c r="M1157" s="329"/>
      <c r="N1157" s="329"/>
    </row>
    <row r="1158" spans="1:14" ht="9.75" customHeight="1">
      <c r="A1158" s="394"/>
      <c r="B1158" s="81"/>
      <c r="C1158" s="311"/>
      <c r="D1158" s="428"/>
      <c r="E1158" s="6">
        <v>714</v>
      </c>
      <c r="F1158" s="4">
        <v>4</v>
      </c>
      <c r="G1158" s="337"/>
      <c r="H1158" s="337"/>
      <c r="I1158" s="329"/>
      <c r="J1158" s="329"/>
      <c r="K1158" s="329"/>
      <c r="L1158" s="329"/>
      <c r="M1158" s="329"/>
      <c r="N1158" s="329"/>
    </row>
    <row r="1159" spans="1:14" ht="10.5" customHeight="1">
      <c r="A1159" s="394"/>
      <c r="B1159" s="81"/>
      <c r="C1159" s="311"/>
      <c r="D1159" s="428"/>
      <c r="E1159" s="6">
        <f>E1154+E1155+E1157+E1158</f>
        <v>9240</v>
      </c>
      <c r="F1159" s="4">
        <v>5</v>
      </c>
      <c r="G1159" s="337"/>
      <c r="H1159" s="337"/>
      <c r="I1159" s="329"/>
      <c r="J1159" s="329"/>
      <c r="K1159" s="329"/>
      <c r="L1159" s="329"/>
      <c r="M1159" s="329"/>
      <c r="N1159" s="329"/>
    </row>
    <row r="1160" spans="1:14" ht="10.5" customHeight="1">
      <c r="A1160" s="394"/>
      <c r="B1160" s="81">
        <v>27</v>
      </c>
      <c r="C1160" s="311"/>
      <c r="D1160" s="428">
        <v>2015</v>
      </c>
      <c r="E1160" s="6">
        <v>5009</v>
      </c>
      <c r="F1160" s="4">
        <v>1</v>
      </c>
      <c r="G1160" s="337">
        <v>0.86</v>
      </c>
      <c r="H1160" s="337">
        <v>1087.4</v>
      </c>
      <c r="I1160" s="329">
        <v>0.577</v>
      </c>
      <c r="J1160" s="329"/>
      <c r="K1160" s="329"/>
      <c r="L1160" s="329">
        <v>0.542</v>
      </c>
      <c r="M1160" s="329"/>
      <c r="N1160" s="329"/>
    </row>
    <row r="1161" spans="1:14" ht="10.5" customHeight="1">
      <c r="A1161" s="394"/>
      <c r="B1161" s="81"/>
      <c r="C1161" s="311"/>
      <c r="D1161" s="428"/>
      <c r="E1161" s="6">
        <v>1915</v>
      </c>
      <c r="F1161" s="4">
        <v>2</v>
      </c>
      <c r="G1161" s="337"/>
      <c r="H1161" s="337"/>
      <c r="I1161" s="329"/>
      <c r="J1161" s="329"/>
      <c r="K1161" s="329"/>
      <c r="L1161" s="329"/>
      <c r="M1161" s="329"/>
      <c r="N1161" s="329"/>
    </row>
    <row r="1162" spans="1:14" ht="10.5" customHeight="1">
      <c r="A1162" s="394"/>
      <c r="B1162" s="81"/>
      <c r="C1162" s="311"/>
      <c r="D1162" s="428"/>
      <c r="E1162" s="6">
        <v>957.5</v>
      </c>
      <c r="F1162" s="4" t="s">
        <v>258</v>
      </c>
      <c r="G1162" s="337"/>
      <c r="H1162" s="337"/>
      <c r="I1162" s="329"/>
      <c r="J1162" s="329"/>
      <c r="K1162" s="329"/>
      <c r="L1162" s="329"/>
      <c r="M1162" s="329"/>
      <c r="N1162" s="329"/>
    </row>
    <row r="1163" spans="1:14" ht="10.5" customHeight="1">
      <c r="A1163" s="394"/>
      <c r="B1163" s="81"/>
      <c r="C1163" s="311"/>
      <c r="D1163" s="428"/>
      <c r="E1163" s="6">
        <v>1602</v>
      </c>
      <c r="F1163" s="4">
        <v>3</v>
      </c>
      <c r="G1163" s="337"/>
      <c r="H1163" s="337"/>
      <c r="I1163" s="329"/>
      <c r="J1163" s="329"/>
      <c r="K1163" s="329"/>
      <c r="L1163" s="329"/>
      <c r="M1163" s="329"/>
      <c r="N1163" s="329"/>
    </row>
    <row r="1164" spans="1:14" ht="10.5" customHeight="1">
      <c r="A1164" s="394"/>
      <c r="B1164" s="81"/>
      <c r="C1164" s="311"/>
      <c r="D1164" s="428"/>
      <c r="E1164" s="6">
        <v>714</v>
      </c>
      <c r="F1164" s="4">
        <v>4</v>
      </c>
      <c r="G1164" s="337"/>
      <c r="H1164" s="337"/>
      <c r="I1164" s="329"/>
      <c r="J1164" s="329"/>
      <c r="K1164" s="329"/>
      <c r="L1164" s="329"/>
      <c r="M1164" s="329"/>
      <c r="N1164" s="329"/>
    </row>
    <row r="1165" spans="1:14" ht="10.5" customHeight="1">
      <c r="A1165" s="413"/>
      <c r="B1165" s="162"/>
      <c r="C1165" s="312"/>
      <c r="D1165" s="428"/>
      <c r="E1165" s="6">
        <f>E1160+E1161+E1163+E1164</f>
        <v>9240</v>
      </c>
      <c r="F1165" s="4">
        <v>5</v>
      </c>
      <c r="G1165" s="337"/>
      <c r="H1165" s="337"/>
      <c r="I1165" s="329"/>
      <c r="J1165" s="329"/>
      <c r="K1165" s="329"/>
      <c r="L1165" s="329"/>
      <c r="M1165" s="329"/>
      <c r="N1165" s="329"/>
    </row>
    <row r="1166" spans="1:14" ht="11.25" customHeight="1">
      <c r="A1166" s="427">
        <v>129</v>
      </c>
      <c r="B1166" s="425" t="s">
        <v>18</v>
      </c>
      <c r="C1166" s="407" t="s">
        <v>372</v>
      </c>
      <c r="D1166" s="322" t="s">
        <v>133</v>
      </c>
      <c r="E1166" s="153">
        <f>E1171+E1176</f>
        <v>3675.5</v>
      </c>
      <c r="F1166" s="125">
        <v>1</v>
      </c>
      <c r="G1166" s="337">
        <f>SUM(G1171:G1180)</f>
        <v>0.36</v>
      </c>
      <c r="H1166" s="337">
        <f>SUM(H1171:H1180)</f>
        <v>370.77</v>
      </c>
      <c r="I1166" s="329">
        <f>SUM(I1171:I1180)</f>
        <v>0.309</v>
      </c>
      <c r="J1166" s="428"/>
      <c r="K1166" s="428"/>
      <c r="L1166" s="428"/>
      <c r="M1166" s="428"/>
      <c r="N1166" s="469"/>
    </row>
    <row r="1167" spans="1:14" ht="10.5" customHeight="1">
      <c r="A1167" s="345"/>
      <c r="B1167" s="345"/>
      <c r="C1167" s="386"/>
      <c r="D1167" s="636"/>
      <c r="E1167" s="153">
        <f>E1172+E1177</f>
        <v>532.5</v>
      </c>
      <c r="F1167" s="125">
        <v>2</v>
      </c>
      <c r="G1167" s="337"/>
      <c r="H1167" s="337"/>
      <c r="I1167" s="329"/>
      <c r="J1167" s="428"/>
      <c r="K1167" s="428"/>
      <c r="L1167" s="428"/>
      <c r="M1167" s="428"/>
      <c r="N1167" s="469"/>
    </row>
    <row r="1168" spans="1:14" ht="11.25" customHeight="1">
      <c r="A1168" s="345"/>
      <c r="B1168" s="345"/>
      <c r="C1168" s="386"/>
      <c r="D1168" s="636"/>
      <c r="E1168" s="153">
        <v>266.25</v>
      </c>
      <c r="F1168" s="125" t="s">
        <v>258</v>
      </c>
      <c r="G1168" s="337"/>
      <c r="H1168" s="337"/>
      <c r="I1168" s="329"/>
      <c r="J1168" s="428"/>
      <c r="K1168" s="428"/>
      <c r="L1168" s="428"/>
      <c r="M1168" s="428"/>
      <c r="N1168" s="469"/>
    </row>
    <row r="1169" spans="1:14" ht="11.25" customHeight="1">
      <c r="A1169" s="345"/>
      <c r="B1169" s="345"/>
      <c r="C1169" s="386"/>
      <c r="D1169" s="636"/>
      <c r="E1169" s="153">
        <f>E1174+E1179</f>
        <v>572</v>
      </c>
      <c r="F1169" s="125">
        <v>3</v>
      </c>
      <c r="G1169" s="337"/>
      <c r="H1169" s="337"/>
      <c r="I1169" s="329"/>
      <c r="J1169" s="428"/>
      <c r="K1169" s="428"/>
      <c r="L1169" s="428"/>
      <c r="M1169" s="428"/>
      <c r="N1169" s="469"/>
    </row>
    <row r="1170" spans="1:14" ht="11.25" customHeight="1">
      <c r="A1170" s="345"/>
      <c r="B1170" s="345"/>
      <c r="C1170" s="386"/>
      <c r="D1170" s="636"/>
      <c r="E1170" s="153">
        <f>E1166+E1167+E1169</f>
        <v>4780</v>
      </c>
      <c r="F1170" s="125">
        <v>5</v>
      </c>
      <c r="G1170" s="337"/>
      <c r="H1170" s="337"/>
      <c r="I1170" s="329"/>
      <c r="J1170" s="428"/>
      <c r="K1170" s="428"/>
      <c r="L1170" s="428"/>
      <c r="M1170" s="428"/>
      <c r="N1170" s="469"/>
    </row>
    <row r="1171" spans="1:14" ht="9.75" customHeight="1">
      <c r="A1171" s="345"/>
      <c r="B1171" s="345"/>
      <c r="C1171" s="386"/>
      <c r="D1171" s="428">
        <v>2011</v>
      </c>
      <c r="E1171" s="153">
        <v>2875.5</v>
      </c>
      <c r="F1171" s="4">
        <v>1</v>
      </c>
      <c r="G1171" s="337">
        <v>0.25</v>
      </c>
      <c r="H1171" s="337">
        <v>258.11</v>
      </c>
      <c r="I1171" s="329">
        <v>0.215</v>
      </c>
      <c r="J1171" s="469"/>
      <c r="K1171" s="469"/>
      <c r="L1171" s="469"/>
      <c r="M1171" s="469"/>
      <c r="N1171" s="469"/>
    </row>
    <row r="1172" spans="1:14" ht="9.75" customHeight="1">
      <c r="A1172" s="345"/>
      <c r="B1172" s="345"/>
      <c r="C1172" s="386"/>
      <c r="D1172" s="636"/>
      <c r="E1172" s="153">
        <v>482.5</v>
      </c>
      <c r="F1172" s="4">
        <v>2</v>
      </c>
      <c r="G1172" s="337"/>
      <c r="H1172" s="337"/>
      <c r="I1172" s="329"/>
      <c r="J1172" s="469"/>
      <c r="K1172" s="469"/>
      <c r="L1172" s="469"/>
      <c r="M1172" s="469"/>
      <c r="N1172" s="469"/>
    </row>
    <row r="1173" spans="1:14" ht="10.5" customHeight="1">
      <c r="A1173" s="345"/>
      <c r="B1173" s="345"/>
      <c r="C1173" s="386"/>
      <c r="D1173" s="636"/>
      <c r="E1173" s="153">
        <v>241.25</v>
      </c>
      <c r="F1173" s="4" t="s">
        <v>258</v>
      </c>
      <c r="G1173" s="337"/>
      <c r="H1173" s="337"/>
      <c r="I1173" s="329"/>
      <c r="J1173" s="469"/>
      <c r="K1173" s="469"/>
      <c r="L1173" s="469"/>
      <c r="M1173" s="469"/>
      <c r="N1173" s="469"/>
    </row>
    <row r="1174" spans="1:14" ht="10.5" customHeight="1">
      <c r="A1174" s="345"/>
      <c r="B1174" s="345"/>
      <c r="C1174" s="386"/>
      <c r="D1174" s="636"/>
      <c r="E1174" s="153">
        <v>442</v>
      </c>
      <c r="F1174" s="4">
        <v>3</v>
      </c>
      <c r="G1174" s="337"/>
      <c r="H1174" s="337"/>
      <c r="I1174" s="329"/>
      <c r="J1174" s="469"/>
      <c r="K1174" s="469"/>
      <c r="L1174" s="469"/>
      <c r="M1174" s="469"/>
      <c r="N1174" s="469"/>
    </row>
    <row r="1175" spans="1:14" ht="9.75" customHeight="1">
      <c r="A1175" s="345"/>
      <c r="B1175" s="345"/>
      <c r="C1175" s="386"/>
      <c r="D1175" s="636"/>
      <c r="E1175" s="153">
        <f>E1171+E1172+E1174</f>
        <v>3800</v>
      </c>
      <c r="F1175" s="4">
        <v>5</v>
      </c>
      <c r="G1175" s="337"/>
      <c r="H1175" s="337"/>
      <c r="I1175" s="329"/>
      <c r="J1175" s="469"/>
      <c r="K1175" s="469"/>
      <c r="L1175" s="469"/>
      <c r="M1175" s="469"/>
      <c r="N1175" s="469"/>
    </row>
    <row r="1176" spans="1:14" ht="10.5" customHeight="1">
      <c r="A1176" s="345"/>
      <c r="B1176" s="345"/>
      <c r="C1176" s="386"/>
      <c r="D1176" s="428">
        <v>2012</v>
      </c>
      <c r="E1176" s="153">
        <v>800</v>
      </c>
      <c r="F1176" s="4">
        <v>1</v>
      </c>
      <c r="G1176" s="337">
        <v>0.11</v>
      </c>
      <c r="H1176" s="337">
        <v>112.66</v>
      </c>
      <c r="I1176" s="329">
        <v>0.094</v>
      </c>
      <c r="J1176" s="469"/>
      <c r="K1176" s="469"/>
      <c r="L1176" s="469"/>
      <c r="M1176" s="469"/>
      <c r="N1176" s="469"/>
    </row>
    <row r="1177" spans="1:14" ht="10.5" customHeight="1">
      <c r="A1177" s="345"/>
      <c r="B1177" s="345"/>
      <c r="C1177" s="386"/>
      <c r="D1177" s="637"/>
      <c r="E1177" s="153">
        <v>50</v>
      </c>
      <c r="F1177" s="4">
        <v>2</v>
      </c>
      <c r="G1177" s="337"/>
      <c r="H1177" s="337"/>
      <c r="I1177" s="345"/>
      <c r="J1177" s="345"/>
      <c r="K1177" s="345"/>
      <c r="L1177" s="345"/>
      <c r="M1177" s="345"/>
      <c r="N1177" s="345"/>
    </row>
    <row r="1178" spans="1:14" ht="12" customHeight="1">
      <c r="A1178" s="345"/>
      <c r="B1178" s="345"/>
      <c r="C1178" s="386"/>
      <c r="D1178" s="637"/>
      <c r="E1178" s="153">
        <v>25</v>
      </c>
      <c r="F1178" s="4" t="s">
        <v>258</v>
      </c>
      <c r="G1178" s="337"/>
      <c r="H1178" s="337"/>
      <c r="I1178" s="345"/>
      <c r="J1178" s="345"/>
      <c r="K1178" s="345"/>
      <c r="L1178" s="345"/>
      <c r="M1178" s="345"/>
      <c r="N1178" s="345"/>
    </row>
    <row r="1179" spans="1:14" ht="9.75" customHeight="1">
      <c r="A1179" s="345"/>
      <c r="B1179" s="345"/>
      <c r="C1179" s="386"/>
      <c r="D1179" s="637"/>
      <c r="E1179" s="153">
        <v>130</v>
      </c>
      <c r="F1179" s="4">
        <v>3</v>
      </c>
      <c r="G1179" s="365"/>
      <c r="H1179" s="365"/>
      <c r="I1179" s="345"/>
      <c r="J1179" s="345"/>
      <c r="K1179" s="345"/>
      <c r="L1179" s="345"/>
      <c r="M1179" s="345"/>
      <c r="N1179" s="345"/>
    </row>
    <row r="1180" spans="1:14" ht="11.25" customHeight="1">
      <c r="A1180" s="426"/>
      <c r="B1180" s="426"/>
      <c r="C1180" s="386"/>
      <c r="D1180" s="637"/>
      <c r="E1180" s="153">
        <f>E1176+E1177+E1179</f>
        <v>980</v>
      </c>
      <c r="F1180" s="4">
        <v>5</v>
      </c>
      <c r="G1180" s="337"/>
      <c r="H1180" s="337"/>
      <c r="I1180" s="345"/>
      <c r="J1180" s="345"/>
      <c r="K1180" s="345"/>
      <c r="L1180" s="345"/>
      <c r="M1180" s="345"/>
      <c r="N1180" s="345"/>
    </row>
    <row r="1181" spans="1:14" ht="10.5" customHeight="1">
      <c r="A1181" s="180">
        <v>130</v>
      </c>
      <c r="B1181" s="632" t="s">
        <v>70</v>
      </c>
      <c r="C1181" s="407" t="s">
        <v>179</v>
      </c>
      <c r="D1181" s="320" t="s">
        <v>459</v>
      </c>
      <c r="E1181" s="126">
        <f>E1187+E1193+E1204+E1210+E1216</f>
        <v>44620</v>
      </c>
      <c r="F1181" s="17">
        <v>1</v>
      </c>
      <c r="G1181" s="480">
        <f>SUM(G1187:G1221)</f>
        <v>11.264000000000003</v>
      </c>
      <c r="H1181" s="480">
        <f>SUM(H1187:H1221)</f>
        <v>18851.770000000004</v>
      </c>
      <c r="I1181" s="492">
        <f>SUM(I1187:I1221)</f>
        <v>9.649</v>
      </c>
      <c r="J1181" s="573"/>
      <c r="K1181" s="495"/>
      <c r="L1181" s="574"/>
      <c r="M1181" s="574"/>
      <c r="N1181" s="574"/>
    </row>
    <row r="1182" spans="1:14" ht="10.5" customHeight="1">
      <c r="A1182" s="181"/>
      <c r="B1182" s="633"/>
      <c r="C1182" s="408"/>
      <c r="D1182" s="321"/>
      <c r="E1182" s="78">
        <f>E1188+E1194+E1205+E1211+E1217</f>
        <v>19068</v>
      </c>
      <c r="F1182" s="4">
        <v>2</v>
      </c>
      <c r="G1182" s="365"/>
      <c r="H1182" s="365"/>
      <c r="I1182" s="365"/>
      <c r="J1182" s="365"/>
      <c r="K1182" s="365"/>
      <c r="L1182" s="365"/>
      <c r="M1182" s="365"/>
      <c r="N1182" s="365"/>
    </row>
    <row r="1183" spans="1:14" ht="10.5" customHeight="1">
      <c r="A1183" s="181"/>
      <c r="B1183" s="633"/>
      <c r="C1183" s="408"/>
      <c r="D1183" s="321"/>
      <c r="E1183" s="78">
        <v>9534</v>
      </c>
      <c r="F1183" s="4" t="s">
        <v>258</v>
      </c>
      <c r="G1183" s="365"/>
      <c r="H1183" s="365"/>
      <c r="I1183" s="365"/>
      <c r="J1183" s="365"/>
      <c r="K1183" s="365"/>
      <c r="L1183" s="365"/>
      <c r="M1183" s="365"/>
      <c r="N1183" s="365"/>
    </row>
    <row r="1184" spans="1:14" ht="10.5" customHeight="1">
      <c r="A1184" s="181"/>
      <c r="B1184" s="633"/>
      <c r="C1184" s="408"/>
      <c r="D1184" s="321"/>
      <c r="E1184" s="78">
        <f>E1190+E1196+E1207+E1213+E1219</f>
        <v>6042</v>
      </c>
      <c r="F1184" s="4">
        <v>3</v>
      </c>
      <c r="G1184" s="365"/>
      <c r="H1184" s="365"/>
      <c r="I1184" s="365"/>
      <c r="J1184" s="365"/>
      <c r="K1184" s="365"/>
      <c r="L1184" s="365"/>
      <c r="M1184" s="365"/>
      <c r="N1184" s="365"/>
    </row>
    <row r="1185" spans="1:14" ht="9.75" customHeight="1">
      <c r="A1185" s="181"/>
      <c r="B1185" s="633"/>
      <c r="C1185" s="74"/>
      <c r="D1185" s="321"/>
      <c r="E1185" s="78">
        <f>E1191+E1197+E1208+E1214+E1220</f>
        <v>33010</v>
      </c>
      <c r="F1185" s="4">
        <v>4</v>
      </c>
      <c r="G1185" s="365"/>
      <c r="H1185" s="365"/>
      <c r="I1185" s="365"/>
      <c r="J1185" s="365"/>
      <c r="K1185" s="365"/>
      <c r="L1185" s="365"/>
      <c r="M1185" s="365"/>
      <c r="N1185" s="365"/>
    </row>
    <row r="1186" spans="1:14" ht="11.25" customHeight="1">
      <c r="A1186" s="181"/>
      <c r="B1186" s="633"/>
      <c r="C1186" s="74"/>
      <c r="D1186" s="321"/>
      <c r="E1186" s="78">
        <f>E1181+E1182+E1184+E1185</f>
        <v>102740</v>
      </c>
      <c r="F1186" s="4">
        <v>5</v>
      </c>
      <c r="G1186" s="365"/>
      <c r="H1186" s="365"/>
      <c r="I1186" s="365"/>
      <c r="J1186" s="365"/>
      <c r="K1186" s="365"/>
      <c r="L1186" s="365"/>
      <c r="M1186" s="365"/>
      <c r="N1186" s="365"/>
    </row>
    <row r="1187" spans="1:14" ht="9.75" customHeight="1">
      <c r="A1187" s="181"/>
      <c r="B1187" s="182">
        <v>21</v>
      </c>
      <c r="C1187" s="74"/>
      <c r="D1187" s="475">
        <v>2011</v>
      </c>
      <c r="E1187" s="78">
        <v>13680</v>
      </c>
      <c r="F1187" s="4">
        <v>1</v>
      </c>
      <c r="G1187" s="337">
        <v>6.06</v>
      </c>
      <c r="H1187" s="337">
        <v>9334.87</v>
      </c>
      <c r="I1187" s="329">
        <v>5.229</v>
      </c>
      <c r="J1187" s="490"/>
      <c r="K1187" s="490"/>
      <c r="L1187" s="490"/>
      <c r="M1187" s="490"/>
      <c r="N1187" s="490"/>
    </row>
    <row r="1188" spans="1:14" ht="10.5" customHeight="1">
      <c r="A1188" s="181"/>
      <c r="B1188" s="182"/>
      <c r="C1188" s="74"/>
      <c r="D1188" s="475"/>
      <c r="E1188" s="78">
        <v>6455</v>
      </c>
      <c r="F1188" s="4">
        <v>2</v>
      </c>
      <c r="G1188" s="337"/>
      <c r="H1188" s="337"/>
      <c r="I1188" s="329"/>
      <c r="J1188" s="490"/>
      <c r="K1188" s="365"/>
      <c r="L1188" s="365"/>
      <c r="M1188" s="365"/>
      <c r="N1188" s="365"/>
    </row>
    <row r="1189" spans="1:14" ht="9.75" customHeight="1">
      <c r="A1189" s="181"/>
      <c r="B1189" s="182"/>
      <c r="C1189" s="74"/>
      <c r="D1189" s="475"/>
      <c r="E1189" s="78">
        <v>3227.5</v>
      </c>
      <c r="F1189" s="4" t="s">
        <v>258</v>
      </c>
      <c r="G1189" s="337"/>
      <c r="H1189" s="337"/>
      <c r="I1189" s="329"/>
      <c r="J1189" s="490"/>
      <c r="K1189" s="365"/>
      <c r="L1189" s="365"/>
      <c r="M1189" s="365"/>
      <c r="N1189" s="365"/>
    </row>
    <row r="1190" spans="1:14" ht="9.75" customHeight="1">
      <c r="A1190" s="181"/>
      <c r="B1190" s="182"/>
      <c r="C1190" s="74"/>
      <c r="D1190" s="475"/>
      <c r="E1190" s="78">
        <v>1765</v>
      </c>
      <c r="F1190" s="4">
        <v>3</v>
      </c>
      <c r="G1190" s="337"/>
      <c r="H1190" s="337"/>
      <c r="I1190" s="329"/>
      <c r="J1190" s="490"/>
      <c r="K1190" s="365"/>
      <c r="L1190" s="365"/>
      <c r="M1190" s="365"/>
      <c r="N1190" s="365"/>
    </row>
    <row r="1191" spans="1:14" ht="10.5" customHeight="1">
      <c r="A1191" s="181"/>
      <c r="B1191" s="182"/>
      <c r="C1191" s="74"/>
      <c r="D1191" s="475"/>
      <c r="E1191" s="78">
        <v>11200</v>
      </c>
      <c r="F1191" s="4">
        <v>4</v>
      </c>
      <c r="G1191" s="337"/>
      <c r="H1191" s="337"/>
      <c r="I1191" s="329"/>
      <c r="J1191" s="490"/>
      <c r="K1191" s="365"/>
      <c r="L1191" s="365"/>
      <c r="M1191" s="365"/>
      <c r="N1191" s="365"/>
    </row>
    <row r="1192" spans="1:14" ht="9.75" customHeight="1">
      <c r="A1192" s="181"/>
      <c r="B1192" s="182"/>
      <c r="C1192" s="74"/>
      <c r="D1192" s="475"/>
      <c r="E1192" s="78">
        <f>E1187+E1188+E1190+E1191</f>
        <v>33100</v>
      </c>
      <c r="F1192" s="4">
        <v>5</v>
      </c>
      <c r="G1192" s="337"/>
      <c r="H1192" s="337"/>
      <c r="I1192" s="329"/>
      <c r="J1192" s="490"/>
      <c r="K1192" s="365"/>
      <c r="L1192" s="365"/>
      <c r="M1192" s="365"/>
      <c r="N1192" s="365"/>
    </row>
    <row r="1193" spans="1:14" ht="10.5" customHeight="1">
      <c r="A1193" s="181"/>
      <c r="B1193" s="182"/>
      <c r="C1193" s="74"/>
      <c r="D1193" s="166">
        <v>2012</v>
      </c>
      <c r="E1193" s="78">
        <v>15600</v>
      </c>
      <c r="F1193" s="4">
        <v>1</v>
      </c>
      <c r="G1193" s="337">
        <v>0.53</v>
      </c>
      <c r="H1193" s="337">
        <v>1478.5</v>
      </c>
      <c r="I1193" s="329">
        <v>0.453</v>
      </c>
      <c r="J1193" s="490"/>
      <c r="K1193" s="490"/>
      <c r="L1193" s="490"/>
      <c r="M1193" s="490"/>
      <c r="N1193" s="490"/>
    </row>
    <row r="1194" spans="1:14" ht="10.5" customHeight="1">
      <c r="A1194" s="181"/>
      <c r="B1194" s="182"/>
      <c r="C1194" s="74"/>
      <c r="D1194" s="167"/>
      <c r="E1194" s="78">
        <v>5350</v>
      </c>
      <c r="F1194" s="4">
        <v>2</v>
      </c>
      <c r="G1194" s="337"/>
      <c r="H1194" s="337"/>
      <c r="I1194" s="329"/>
      <c r="J1194" s="345"/>
      <c r="K1194" s="345"/>
      <c r="L1194" s="345"/>
      <c r="M1194" s="345"/>
      <c r="N1194" s="345"/>
    </row>
    <row r="1195" spans="1:14" ht="11.25" customHeight="1">
      <c r="A1195" s="181"/>
      <c r="B1195" s="182"/>
      <c r="C1195" s="74"/>
      <c r="D1195" s="167"/>
      <c r="E1195" s="78">
        <v>2675</v>
      </c>
      <c r="F1195" s="4" t="s">
        <v>258</v>
      </c>
      <c r="G1195" s="337"/>
      <c r="H1195" s="337"/>
      <c r="I1195" s="329"/>
      <c r="J1195" s="345"/>
      <c r="K1195" s="345"/>
      <c r="L1195" s="345"/>
      <c r="M1195" s="345"/>
      <c r="N1195" s="345"/>
    </row>
    <row r="1196" spans="1:14" ht="10.5" customHeight="1">
      <c r="A1196" s="181"/>
      <c r="B1196" s="182"/>
      <c r="C1196" s="74"/>
      <c r="D1196" s="167"/>
      <c r="E1196" s="78">
        <v>2300</v>
      </c>
      <c r="F1196" s="4">
        <v>3</v>
      </c>
      <c r="G1196" s="337"/>
      <c r="H1196" s="337"/>
      <c r="I1196" s="329"/>
      <c r="J1196" s="345"/>
      <c r="K1196" s="345"/>
      <c r="L1196" s="345"/>
      <c r="M1196" s="345"/>
      <c r="N1196" s="345"/>
    </row>
    <row r="1197" spans="1:14" ht="9.75" customHeight="1">
      <c r="A1197" s="181"/>
      <c r="B1197" s="182"/>
      <c r="C1197" s="74"/>
      <c r="D1197" s="167"/>
      <c r="E1197" s="78">
        <v>8750</v>
      </c>
      <c r="F1197" s="4">
        <v>4</v>
      </c>
      <c r="G1197" s="337"/>
      <c r="H1197" s="337"/>
      <c r="I1197" s="329"/>
      <c r="J1197" s="345"/>
      <c r="K1197" s="345"/>
      <c r="L1197" s="345"/>
      <c r="M1197" s="345"/>
      <c r="N1197" s="345"/>
    </row>
    <row r="1198" spans="1:14" ht="10.5" customHeight="1">
      <c r="A1198" s="181"/>
      <c r="B1198" s="182" t="s">
        <v>180</v>
      </c>
      <c r="C1198" s="74"/>
      <c r="D1198" s="167"/>
      <c r="E1198" s="78">
        <f>E1193+E1194+E1196+E1197</f>
        <v>32000</v>
      </c>
      <c r="F1198" s="4">
        <v>5</v>
      </c>
      <c r="G1198" s="337"/>
      <c r="H1198" s="337"/>
      <c r="I1198" s="329"/>
      <c r="J1198" s="345"/>
      <c r="K1198" s="345"/>
      <c r="L1198" s="345"/>
      <c r="M1198" s="345"/>
      <c r="N1198" s="345"/>
    </row>
    <row r="1199" spans="1:14" ht="121.5" customHeight="1">
      <c r="A1199" s="181"/>
      <c r="B1199" s="183" t="s">
        <v>398</v>
      </c>
      <c r="C1199" s="81"/>
      <c r="D1199" s="142"/>
      <c r="E1199" s="78">
        <v>3000</v>
      </c>
      <c r="F1199" s="123">
        <v>1</v>
      </c>
      <c r="G1199" s="124">
        <v>0.134</v>
      </c>
      <c r="H1199" s="78">
        <v>607</v>
      </c>
      <c r="I1199" s="124">
        <v>0.117</v>
      </c>
      <c r="J1199" s="184"/>
      <c r="K1199" s="184"/>
      <c r="L1199" s="184"/>
      <c r="M1199" s="184"/>
      <c r="N1199" s="184"/>
    </row>
    <row r="1200" spans="1:14" ht="91.5" customHeight="1">
      <c r="A1200" s="185"/>
      <c r="B1200" s="186" t="s">
        <v>256</v>
      </c>
      <c r="C1200" s="162"/>
      <c r="D1200" s="187"/>
      <c r="E1200" s="124">
        <v>683.276</v>
      </c>
      <c r="F1200" s="123">
        <v>1</v>
      </c>
      <c r="G1200" s="78">
        <v>0.03</v>
      </c>
      <c r="H1200" s="78">
        <v>108.46</v>
      </c>
      <c r="I1200" s="124">
        <v>0.02</v>
      </c>
      <c r="J1200" s="184"/>
      <c r="K1200" s="184"/>
      <c r="L1200" s="184"/>
      <c r="M1200" s="184"/>
      <c r="N1200" s="184"/>
    </row>
    <row r="1201" spans="1:14" ht="99" customHeight="1">
      <c r="A1201" s="407"/>
      <c r="B1201" s="188" t="s">
        <v>399</v>
      </c>
      <c r="C1201" s="81"/>
      <c r="D1201" s="142"/>
      <c r="E1201" s="84">
        <v>604.154</v>
      </c>
      <c r="F1201" s="189">
        <v>1</v>
      </c>
      <c r="G1201" s="83">
        <v>0.03</v>
      </c>
      <c r="H1201" s="83">
        <v>109.85</v>
      </c>
      <c r="I1201" s="84">
        <v>0.02</v>
      </c>
      <c r="J1201" s="190"/>
      <c r="K1201" s="190"/>
      <c r="L1201" s="190"/>
      <c r="M1201" s="190"/>
      <c r="N1201" s="190"/>
    </row>
    <row r="1202" spans="1:14" ht="123.75" customHeight="1">
      <c r="A1202" s="408"/>
      <c r="B1202" s="186" t="s">
        <v>396</v>
      </c>
      <c r="C1202" s="81"/>
      <c r="D1202" s="142"/>
      <c r="E1202" s="124">
        <v>1895.734</v>
      </c>
      <c r="F1202" s="123">
        <v>1</v>
      </c>
      <c r="G1202" s="78">
        <v>0.08</v>
      </c>
      <c r="H1202" s="78">
        <v>291.65</v>
      </c>
      <c r="I1202" s="124">
        <v>0.06</v>
      </c>
      <c r="J1202" s="184"/>
      <c r="K1202" s="184"/>
      <c r="L1202" s="184"/>
      <c r="M1202" s="184"/>
      <c r="N1202" s="184"/>
    </row>
    <row r="1203" spans="1:14" ht="113.25" customHeight="1">
      <c r="A1203" s="408"/>
      <c r="B1203" s="191" t="s">
        <v>397</v>
      </c>
      <c r="C1203" s="81"/>
      <c r="D1203" s="187"/>
      <c r="E1203" s="124">
        <v>1916.141</v>
      </c>
      <c r="F1203" s="123">
        <v>1</v>
      </c>
      <c r="G1203" s="78">
        <v>0.11</v>
      </c>
      <c r="H1203" s="78">
        <v>361.54</v>
      </c>
      <c r="I1203" s="124">
        <v>0.06</v>
      </c>
      <c r="J1203" s="184"/>
      <c r="K1203" s="184"/>
      <c r="L1203" s="184"/>
      <c r="M1203" s="184"/>
      <c r="N1203" s="184"/>
    </row>
    <row r="1204" spans="1:14" ht="10.5" customHeight="1">
      <c r="A1204" s="408"/>
      <c r="B1204" s="155">
        <v>9</v>
      </c>
      <c r="C1204" s="156"/>
      <c r="D1204" s="475">
        <v>2013</v>
      </c>
      <c r="E1204" s="78">
        <v>9968</v>
      </c>
      <c r="F1204" s="4">
        <v>1</v>
      </c>
      <c r="G1204" s="337">
        <v>1.51</v>
      </c>
      <c r="H1204" s="337">
        <v>2231.1</v>
      </c>
      <c r="I1204" s="329">
        <v>1.3</v>
      </c>
      <c r="J1204" s="575"/>
      <c r="K1204" s="575"/>
      <c r="L1204" s="575"/>
      <c r="M1204" s="575"/>
      <c r="N1204" s="575"/>
    </row>
    <row r="1205" spans="1:14" ht="10.5" customHeight="1">
      <c r="A1205" s="408"/>
      <c r="B1205" s="158"/>
      <c r="C1205" s="156"/>
      <c r="D1205" s="475"/>
      <c r="E1205" s="78">
        <v>4823</v>
      </c>
      <c r="F1205" s="4">
        <v>2</v>
      </c>
      <c r="G1205" s="337"/>
      <c r="H1205" s="337"/>
      <c r="I1205" s="329"/>
      <c r="J1205" s="345"/>
      <c r="K1205" s="345"/>
      <c r="L1205" s="345"/>
      <c r="M1205" s="345"/>
      <c r="N1205" s="345"/>
    </row>
    <row r="1206" spans="1:14" ht="10.5" customHeight="1">
      <c r="A1206" s="408"/>
      <c r="B1206" s="158"/>
      <c r="C1206" s="156"/>
      <c r="D1206" s="475"/>
      <c r="E1206" s="78">
        <v>2411.5</v>
      </c>
      <c r="F1206" s="4" t="s">
        <v>258</v>
      </c>
      <c r="G1206" s="337"/>
      <c r="H1206" s="337"/>
      <c r="I1206" s="329"/>
      <c r="J1206" s="345"/>
      <c r="K1206" s="345"/>
      <c r="L1206" s="345"/>
      <c r="M1206" s="345"/>
      <c r="N1206" s="345"/>
    </row>
    <row r="1207" spans="1:14" ht="10.5" customHeight="1">
      <c r="A1207" s="408"/>
      <c r="B1207" s="158"/>
      <c r="C1207" s="156"/>
      <c r="D1207" s="475"/>
      <c r="E1207" s="78">
        <v>1269</v>
      </c>
      <c r="F1207" s="4">
        <v>3</v>
      </c>
      <c r="G1207" s="337"/>
      <c r="H1207" s="337"/>
      <c r="I1207" s="329"/>
      <c r="J1207" s="345"/>
      <c r="K1207" s="345"/>
      <c r="L1207" s="345"/>
      <c r="M1207" s="345"/>
      <c r="N1207" s="345"/>
    </row>
    <row r="1208" spans="1:14" ht="10.5" customHeight="1">
      <c r="A1208" s="408"/>
      <c r="B1208" s="158"/>
      <c r="C1208" s="156"/>
      <c r="D1208" s="475"/>
      <c r="E1208" s="78">
        <v>8860</v>
      </c>
      <c r="F1208" s="4">
        <v>4</v>
      </c>
      <c r="G1208" s="337"/>
      <c r="H1208" s="337"/>
      <c r="I1208" s="329"/>
      <c r="J1208" s="345"/>
      <c r="K1208" s="345"/>
      <c r="L1208" s="345"/>
      <c r="M1208" s="345"/>
      <c r="N1208" s="345"/>
    </row>
    <row r="1209" spans="1:14" ht="10.5" customHeight="1">
      <c r="A1209" s="408"/>
      <c r="B1209" s="158"/>
      <c r="C1209" s="156"/>
      <c r="D1209" s="475"/>
      <c r="E1209" s="78">
        <f>E1204+E1205+E1207+E1208</f>
        <v>24920</v>
      </c>
      <c r="F1209" s="4">
        <v>5</v>
      </c>
      <c r="G1209" s="337"/>
      <c r="H1209" s="337"/>
      <c r="I1209" s="329"/>
      <c r="J1209" s="345"/>
      <c r="K1209" s="345"/>
      <c r="L1209" s="345"/>
      <c r="M1209" s="345"/>
      <c r="N1209" s="345"/>
    </row>
    <row r="1210" spans="1:14" ht="10.5" customHeight="1">
      <c r="A1210" s="408"/>
      <c r="B1210" s="158">
        <v>6</v>
      </c>
      <c r="C1210" s="147"/>
      <c r="D1210" s="475">
        <v>2014</v>
      </c>
      <c r="E1210" s="78">
        <v>2686</v>
      </c>
      <c r="F1210" s="4">
        <v>1</v>
      </c>
      <c r="G1210" s="337">
        <v>1.39</v>
      </c>
      <c r="H1210" s="337">
        <v>2164.4</v>
      </c>
      <c r="I1210" s="329">
        <v>1.195</v>
      </c>
      <c r="J1210" s="329"/>
      <c r="K1210" s="329"/>
      <c r="L1210" s="329"/>
      <c r="M1210" s="329"/>
      <c r="N1210" s="329"/>
    </row>
    <row r="1211" spans="1:14" ht="10.5" customHeight="1">
      <c r="A1211" s="408"/>
      <c r="B1211" s="158"/>
      <c r="C1211" s="147"/>
      <c r="D1211" s="475"/>
      <c r="E1211" s="78">
        <v>1220</v>
      </c>
      <c r="F1211" s="4">
        <v>2</v>
      </c>
      <c r="G1211" s="337"/>
      <c r="H1211" s="337"/>
      <c r="I1211" s="329"/>
      <c r="J1211" s="345"/>
      <c r="K1211" s="345"/>
      <c r="L1211" s="345"/>
      <c r="M1211" s="345"/>
      <c r="N1211" s="345"/>
    </row>
    <row r="1212" spans="1:14" ht="9.75" customHeight="1">
      <c r="A1212" s="408"/>
      <c r="B1212" s="158"/>
      <c r="C1212" s="147"/>
      <c r="D1212" s="475"/>
      <c r="E1212" s="78">
        <v>610</v>
      </c>
      <c r="F1212" s="4" t="s">
        <v>258</v>
      </c>
      <c r="G1212" s="337"/>
      <c r="H1212" s="337"/>
      <c r="I1212" s="329"/>
      <c r="J1212" s="345"/>
      <c r="K1212" s="345"/>
      <c r="L1212" s="345"/>
      <c r="M1212" s="345"/>
      <c r="N1212" s="345"/>
    </row>
    <row r="1213" spans="1:14" ht="10.5" customHeight="1">
      <c r="A1213" s="408"/>
      <c r="B1213" s="158"/>
      <c r="C1213" s="147"/>
      <c r="D1213" s="475"/>
      <c r="E1213" s="78">
        <v>354</v>
      </c>
      <c r="F1213" s="4">
        <v>3</v>
      </c>
      <c r="G1213" s="337"/>
      <c r="H1213" s="337"/>
      <c r="I1213" s="329"/>
      <c r="J1213" s="345"/>
      <c r="K1213" s="345"/>
      <c r="L1213" s="345"/>
      <c r="M1213" s="345"/>
      <c r="N1213" s="345"/>
    </row>
    <row r="1214" spans="1:14" ht="10.5" customHeight="1">
      <c r="A1214" s="408"/>
      <c r="B1214" s="158"/>
      <c r="C1214" s="147"/>
      <c r="D1214" s="475"/>
      <c r="E1214" s="78">
        <v>2100</v>
      </c>
      <c r="F1214" s="4">
        <v>4</v>
      </c>
      <c r="G1214" s="337"/>
      <c r="H1214" s="337"/>
      <c r="I1214" s="329"/>
      <c r="J1214" s="345"/>
      <c r="K1214" s="345"/>
      <c r="L1214" s="345"/>
      <c r="M1214" s="345"/>
      <c r="N1214" s="345"/>
    </row>
    <row r="1215" spans="1:14" ht="10.5" customHeight="1">
      <c r="A1215" s="408"/>
      <c r="B1215" s="158"/>
      <c r="C1215" s="147"/>
      <c r="D1215" s="475"/>
      <c r="E1215" s="78">
        <f>E1210+E1211+E1213+E1214</f>
        <v>6360</v>
      </c>
      <c r="F1215" s="4">
        <v>5</v>
      </c>
      <c r="G1215" s="337"/>
      <c r="H1215" s="337"/>
      <c r="I1215" s="329"/>
      <c r="J1215" s="345"/>
      <c r="K1215" s="345"/>
      <c r="L1215" s="345"/>
      <c r="M1215" s="345"/>
      <c r="N1215" s="345"/>
    </row>
    <row r="1216" spans="1:14" ht="9.75" customHeight="1">
      <c r="A1216" s="408"/>
      <c r="B1216" s="81">
        <v>6</v>
      </c>
      <c r="C1216" s="147"/>
      <c r="D1216" s="475">
        <v>2015</v>
      </c>
      <c r="E1216" s="78">
        <v>2686</v>
      </c>
      <c r="F1216" s="4">
        <v>1</v>
      </c>
      <c r="G1216" s="337">
        <v>1.39</v>
      </c>
      <c r="H1216" s="337">
        <v>2164.4</v>
      </c>
      <c r="I1216" s="329">
        <v>1.195</v>
      </c>
      <c r="J1216" s="478"/>
      <c r="K1216" s="478"/>
      <c r="L1216" s="478"/>
      <c r="M1216" s="478"/>
      <c r="N1216" s="478"/>
    </row>
    <row r="1217" spans="1:14" ht="10.5" customHeight="1">
      <c r="A1217" s="408"/>
      <c r="B1217" s="81"/>
      <c r="C1217" s="147"/>
      <c r="D1217" s="475"/>
      <c r="E1217" s="78">
        <v>1220</v>
      </c>
      <c r="F1217" s="4">
        <v>2</v>
      </c>
      <c r="G1217" s="337"/>
      <c r="H1217" s="337"/>
      <c r="I1217" s="329"/>
      <c r="J1217" s="478"/>
      <c r="K1217" s="478"/>
      <c r="L1217" s="478"/>
      <c r="M1217" s="478"/>
      <c r="N1217" s="478"/>
    </row>
    <row r="1218" spans="1:14" ht="10.5" customHeight="1">
      <c r="A1218" s="408"/>
      <c r="B1218" s="81"/>
      <c r="C1218" s="147"/>
      <c r="D1218" s="475"/>
      <c r="E1218" s="78">
        <v>610</v>
      </c>
      <c r="F1218" s="4" t="s">
        <v>258</v>
      </c>
      <c r="G1218" s="337"/>
      <c r="H1218" s="337"/>
      <c r="I1218" s="329"/>
      <c r="J1218" s="478"/>
      <c r="K1218" s="478"/>
      <c r="L1218" s="478"/>
      <c r="M1218" s="478"/>
      <c r="N1218" s="478"/>
    </row>
    <row r="1219" spans="1:14" ht="10.5" customHeight="1">
      <c r="A1219" s="408"/>
      <c r="B1219" s="81"/>
      <c r="C1219" s="147"/>
      <c r="D1219" s="475"/>
      <c r="E1219" s="78">
        <v>354</v>
      </c>
      <c r="F1219" s="4">
        <v>3</v>
      </c>
      <c r="G1219" s="337"/>
      <c r="H1219" s="337"/>
      <c r="I1219" s="329"/>
      <c r="J1219" s="478"/>
      <c r="K1219" s="478"/>
      <c r="L1219" s="478"/>
      <c r="M1219" s="478"/>
      <c r="N1219" s="478"/>
    </row>
    <row r="1220" spans="1:14" ht="10.5" customHeight="1">
      <c r="A1220" s="408"/>
      <c r="B1220" s="81"/>
      <c r="C1220" s="147"/>
      <c r="D1220" s="475"/>
      <c r="E1220" s="78">
        <v>2100</v>
      </c>
      <c r="F1220" s="4">
        <v>4</v>
      </c>
      <c r="G1220" s="337"/>
      <c r="H1220" s="337"/>
      <c r="I1220" s="329"/>
      <c r="J1220" s="478"/>
      <c r="K1220" s="478"/>
      <c r="L1220" s="478"/>
      <c r="M1220" s="478"/>
      <c r="N1220" s="478"/>
    </row>
    <row r="1221" spans="1:14" ht="10.5" customHeight="1">
      <c r="A1221" s="409"/>
      <c r="B1221" s="162"/>
      <c r="C1221" s="149"/>
      <c r="D1221" s="475"/>
      <c r="E1221" s="78">
        <f>E1216+E1217+E1219+E1220</f>
        <v>6360</v>
      </c>
      <c r="F1221" s="4">
        <v>5</v>
      </c>
      <c r="G1221" s="337"/>
      <c r="H1221" s="337"/>
      <c r="I1221" s="329"/>
      <c r="J1221" s="478"/>
      <c r="K1221" s="478"/>
      <c r="L1221" s="478"/>
      <c r="M1221" s="478"/>
      <c r="N1221" s="478"/>
    </row>
    <row r="1222" spans="1:14" ht="10.5" customHeight="1">
      <c r="A1222" s="18">
        <v>131</v>
      </c>
      <c r="B1222" s="434" t="s">
        <v>237</v>
      </c>
      <c r="C1222" s="407" t="s">
        <v>417</v>
      </c>
      <c r="D1222" s="322" t="s">
        <v>460</v>
      </c>
      <c r="E1222" s="192">
        <f>E1228+E1234+E1240+E1246+E1252</f>
        <v>60400</v>
      </c>
      <c r="F1222" s="193">
        <v>1</v>
      </c>
      <c r="G1222" s="488">
        <f>SUM(G1228:G1257)</f>
        <v>5.25</v>
      </c>
      <c r="H1222" s="488">
        <f>SUM(H1228:H1257)</f>
        <v>8136</v>
      </c>
      <c r="I1222" s="489">
        <f>SUM(I1228:I1257)</f>
        <v>4.5200000000000005</v>
      </c>
      <c r="J1222" s="478"/>
      <c r="K1222" s="478"/>
      <c r="L1222" s="478"/>
      <c r="M1222" s="478"/>
      <c r="N1222" s="478"/>
    </row>
    <row r="1223" spans="1:14" ht="11.25" customHeight="1">
      <c r="A1223" s="81"/>
      <c r="B1223" s="282"/>
      <c r="C1223" s="331"/>
      <c r="D1223" s="365"/>
      <c r="E1223" s="6">
        <f>E1229+E1235+E1241+E1247+E1253</f>
        <v>30200</v>
      </c>
      <c r="F1223" s="123">
        <v>2</v>
      </c>
      <c r="G1223" s="365"/>
      <c r="H1223" s="365"/>
      <c r="I1223" s="365"/>
      <c r="J1223" s="478"/>
      <c r="K1223" s="478"/>
      <c r="L1223" s="478"/>
      <c r="M1223" s="478"/>
      <c r="N1223" s="478"/>
    </row>
    <row r="1224" spans="1:14" ht="10.5" customHeight="1">
      <c r="A1224" s="81"/>
      <c r="B1224" s="282"/>
      <c r="C1224" s="331"/>
      <c r="D1224" s="365"/>
      <c r="E1224" s="6">
        <v>15100</v>
      </c>
      <c r="F1224" s="123" t="s">
        <v>258</v>
      </c>
      <c r="G1224" s="365"/>
      <c r="H1224" s="365"/>
      <c r="I1224" s="365"/>
      <c r="J1224" s="478"/>
      <c r="K1224" s="478"/>
      <c r="L1224" s="478"/>
      <c r="M1224" s="478"/>
      <c r="N1224" s="478"/>
    </row>
    <row r="1225" spans="1:14" ht="10.5" customHeight="1">
      <c r="A1225" s="81"/>
      <c r="B1225" s="282"/>
      <c r="C1225" s="331"/>
      <c r="D1225" s="365"/>
      <c r="E1225" s="6">
        <f>E1231+E1237+E1243+E1249+E1255</f>
        <v>7550</v>
      </c>
      <c r="F1225" s="123">
        <v>3</v>
      </c>
      <c r="G1225" s="365"/>
      <c r="H1225" s="365"/>
      <c r="I1225" s="365"/>
      <c r="J1225" s="478"/>
      <c r="K1225" s="478"/>
      <c r="L1225" s="478"/>
      <c r="M1225" s="478"/>
      <c r="N1225" s="478"/>
    </row>
    <row r="1226" spans="1:14" ht="11.25" customHeight="1">
      <c r="A1226" s="81"/>
      <c r="B1226" s="282"/>
      <c r="C1226" s="331"/>
      <c r="D1226" s="365"/>
      <c r="E1226" s="6">
        <f>E1232+E1238+E1244+E1250+E1256</f>
        <v>52850</v>
      </c>
      <c r="F1226" s="123">
        <v>4</v>
      </c>
      <c r="G1226" s="365"/>
      <c r="H1226" s="365"/>
      <c r="I1226" s="365"/>
      <c r="J1226" s="478"/>
      <c r="K1226" s="478"/>
      <c r="L1226" s="478"/>
      <c r="M1226" s="478"/>
      <c r="N1226" s="478"/>
    </row>
    <row r="1227" spans="1:14" ht="11.25" customHeight="1">
      <c r="A1227" s="162"/>
      <c r="B1227" s="283"/>
      <c r="C1227" s="339"/>
      <c r="D1227" s="365"/>
      <c r="E1227" s="6">
        <f>E1222+E1223+E1225+E1226</f>
        <v>151000</v>
      </c>
      <c r="F1227" s="123">
        <v>5</v>
      </c>
      <c r="G1227" s="365"/>
      <c r="H1227" s="365"/>
      <c r="I1227" s="365"/>
      <c r="J1227" s="478"/>
      <c r="K1227" s="478"/>
      <c r="L1227" s="478"/>
      <c r="M1227" s="478"/>
      <c r="N1227" s="478"/>
    </row>
    <row r="1228" spans="1:14" ht="11.25" customHeight="1">
      <c r="A1228" s="181"/>
      <c r="B1228" s="158">
        <v>25</v>
      </c>
      <c r="C1228" s="147"/>
      <c r="D1228" s="428">
        <v>2011</v>
      </c>
      <c r="E1228" s="6">
        <v>12080</v>
      </c>
      <c r="F1228" s="123">
        <v>1</v>
      </c>
      <c r="G1228" s="337">
        <v>1.05</v>
      </c>
      <c r="H1228" s="337">
        <v>1627.2</v>
      </c>
      <c r="I1228" s="329">
        <v>0.904</v>
      </c>
      <c r="J1228" s="478"/>
      <c r="K1228" s="478"/>
      <c r="L1228" s="478"/>
      <c r="M1228" s="478"/>
      <c r="N1228" s="478"/>
    </row>
    <row r="1229" spans="1:14" ht="10.5" customHeight="1">
      <c r="A1229" s="181"/>
      <c r="B1229" s="158"/>
      <c r="C1229" s="147"/>
      <c r="D1229" s="487"/>
      <c r="E1229" s="6">
        <v>6040</v>
      </c>
      <c r="F1229" s="123">
        <v>2</v>
      </c>
      <c r="G1229" s="337"/>
      <c r="H1229" s="337"/>
      <c r="I1229" s="329"/>
      <c r="J1229" s="478"/>
      <c r="K1229" s="478"/>
      <c r="L1229" s="478"/>
      <c r="M1229" s="478"/>
      <c r="N1229" s="478"/>
    </row>
    <row r="1230" spans="1:14" ht="10.5" customHeight="1">
      <c r="A1230" s="181"/>
      <c r="B1230" s="158"/>
      <c r="C1230" s="147"/>
      <c r="D1230" s="487"/>
      <c r="E1230" s="6">
        <v>3020</v>
      </c>
      <c r="F1230" s="123" t="s">
        <v>258</v>
      </c>
      <c r="G1230" s="337"/>
      <c r="H1230" s="337"/>
      <c r="I1230" s="329"/>
      <c r="J1230" s="478"/>
      <c r="K1230" s="478"/>
      <c r="L1230" s="478"/>
      <c r="M1230" s="478"/>
      <c r="N1230" s="478"/>
    </row>
    <row r="1231" spans="1:14" ht="10.5" customHeight="1">
      <c r="A1231" s="181"/>
      <c r="B1231" s="158"/>
      <c r="C1231" s="147"/>
      <c r="D1231" s="487"/>
      <c r="E1231" s="6">
        <v>1510</v>
      </c>
      <c r="F1231" s="123">
        <v>3</v>
      </c>
      <c r="G1231" s="337"/>
      <c r="H1231" s="337"/>
      <c r="I1231" s="329"/>
      <c r="J1231" s="478"/>
      <c r="K1231" s="478"/>
      <c r="L1231" s="478"/>
      <c r="M1231" s="478"/>
      <c r="N1231" s="478"/>
    </row>
    <row r="1232" spans="1:14" ht="9.75" customHeight="1">
      <c r="A1232" s="181"/>
      <c r="B1232" s="158"/>
      <c r="C1232" s="147"/>
      <c r="D1232" s="487"/>
      <c r="E1232" s="6">
        <v>10570</v>
      </c>
      <c r="F1232" s="123">
        <v>4</v>
      </c>
      <c r="G1232" s="337"/>
      <c r="H1232" s="337"/>
      <c r="I1232" s="329"/>
      <c r="J1232" s="478"/>
      <c r="K1232" s="478"/>
      <c r="L1232" s="478"/>
      <c r="M1232" s="478"/>
      <c r="N1232" s="478"/>
    </row>
    <row r="1233" spans="1:14" ht="9.75" customHeight="1">
      <c r="A1233" s="181"/>
      <c r="B1233" s="158"/>
      <c r="C1233" s="147"/>
      <c r="D1233" s="487"/>
      <c r="E1233" s="6">
        <f>E1228+E1229+E1231+E1232</f>
        <v>30200</v>
      </c>
      <c r="F1233" s="123">
        <v>5</v>
      </c>
      <c r="G1233" s="337"/>
      <c r="H1233" s="337"/>
      <c r="I1233" s="329"/>
      <c r="J1233" s="478"/>
      <c r="K1233" s="478"/>
      <c r="L1233" s="478"/>
      <c r="M1233" s="478"/>
      <c r="N1233" s="478"/>
    </row>
    <row r="1234" spans="1:14" ht="10.5" customHeight="1">
      <c r="A1234" s="181"/>
      <c r="B1234" s="158">
        <v>25</v>
      </c>
      <c r="C1234" s="147"/>
      <c r="D1234" s="428">
        <v>2012</v>
      </c>
      <c r="E1234" s="6">
        <v>12080</v>
      </c>
      <c r="F1234" s="123">
        <v>1</v>
      </c>
      <c r="G1234" s="337">
        <v>1.05</v>
      </c>
      <c r="H1234" s="337">
        <v>1627.2</v>
      </c>
      <c r="I1234" s="329">
        <v>0.904</v>
      </c>
      <c r="J1234" s="478"/>
      <c r="K1234" s="478"/>
      <c r="L1234" s="478"/>
      <c r="M1234" s="478"/>
      <c r="N1234" s="478"/>
    </row>
    <row r="1235" spans="1:14" ht="11.25" customHeight="1">
      <c r="A1235" s="181"/>
      <c r="B1235" s="158"/>
      <c r="C1235" s="147"/>
      <c r="D1235" s="418"/>
      <c r="E1235" s="6">
        <v>6040</v>
      </c>
      <c r="F1235" s="123">
        <v>2</v>
      </c>
      <c r="G1235" s="365"/>
      <c r="H1235" s="365"/>
      <c r="I1235" s="365"/>
      <c r="J1235" s="478"/>
      <c r="K1235" s="478"/>
      <c r="L1235" s="478"/>
      <c r="M1235" s="478"/>
      <c r="N1235" s="478"/>
    </row>
    <row r="1236" spans="1:14" ht="11.25" customHeight="1">
      <c r="A1236" s="181"/>
      <c r="B1236" s="158"/>
      <c r="C1236" s="147"/>
      <c r="D1236" s="418"/>
      <c r="E1236" s="6">
        <v>3020</v>
      </c>
      <c r="F1236" s="123" t="s">
        <v>258</v>
      </c>
      <c r="G1236" s="365"/>
      <c r="H1236" s="365"/>
      <c r="I1236" s="365"/>
      <c r="J1236" s="478"/>
      <c r="K1236" s="478"/>
      <c r="L1236" s="478"/>
      <c r="M1236" s="478"/>
      <c r="N1236" s="478"/>
    </row>
    <row r="1237" spans="1:14" ht="10.5" customHeight="1">
      <c r="A1237" s="181"/>
      <c r="B1237" s="158"/>
      <c r="C1237" s="147"/>
      <c r="D1237" s="418"/>
      <c r="E1237" s="6">
        <v>1510</v>
      </c>
      <c r="F1237" s="123">
        <v>3</v>
      </c>
      <c r="G1237" s="365"/>
      <c r="H1237" s="365"/>
      <c r="I1237" s="365"/>
      <c r="J1237" s="478"/>
      <c r="K1237" s="478"/>
      <c r="L1237" s="478"/>
      <c r="M1237" s="478"/>
      <c r="N1237" s="478"/>
    </row>
    <row r="1238" spans="1:14" ht="10.5" customHeight="1">
      <c r="A1238" s="181"/>
      <c r="B1238" s="158"/>
      <c r="C1238" s="147"/>
      <c r="D1238" s="418"/>
      <c r="E1238" s="6">
        <v>10570</v>
      </c>
      <c r="F1238" s="123">
        <v>4</v>
      </c>
      <c r="G1238" s="365"/>
      <c r="H1238" s="365"/>
      <c r="I1238" s="365"/>
      <c r="J1238" s="478"/>
      <c r="K1238" s="478"/>
      <c r="L1238" s="478"/>
      <c r="M1238" s="478"/>
      <c r="N1238" s="478"/>
    </row>
    <row r="1239" spans="1:14" ht="10.5" customHeight="1">
      <c r="A1239" s="181"/>
      <c r="B1239" s="158"/>
      <c r="C1239" s="147"/>
      <c r="D1239" s="418"/>
      <c r="E1239" s="6">
        <f>E1234+E1235+E1237+E1238</f>
        <v>30200</v>
      </c>
      <c r="F1239" s="123">
        <v>5</v>
      </c>
      <c r="G1239" s="365"/>
      <c r="H1239" s="365"/>
      <c r="I1239" s="365"/>
      <c r="J1239" s="478"/>
      <c r="K1239" s="478"/>
      <c r="L1239" s="478"/>
      <c r="M1239" s="478"/>
      <c r="N1239" s="478"/>
    </row>
    <row r="1240" spans="1:14" ht="10.5" customHeight="1">
      <c r="A1240" s="181"/>
      <c r="B1240" s="158">
        <v>25</v>
      </c>
      <c r="C1240" s="147"/>
      <c r="D1240" s="428">
        <v>2013</v>
      </c>
      <c r="E1240" s="6">
        <v>12080</v>
      </c>
      <c r="F1240" s="123">
        <v>1</v>
      </c>
      <c r="G1240" s="337">
        <v>1.05</v>
      </c>
      <c r="H1240" s="337">
        <v>1627.2</v>
      </c>
      <c r="I1240" s="329">
        <v>0.904</v>
      </c>
      <c r="J1240" s="478"/>
      <c r="K1240" s="478"/>
      <c r="L1240" s="478"/>
      <c r="M1240" s="478"/>
      <c r="N1240" s="478"/>
    </row>
    <row r="1241" spans="1:14" ht="10.5" customHeight="1">
      <c r="A1241" s="181"/>
      <c r="B1241" s="158"/>
      <c r="C1241" s="147"/>
      <c r="D1241" s="418"/>
      <c r="E1241" s="6">
        <v>6040</v>
      </c>
      <c r="F1241" s="123">
        <v>2</v>
      </c>
      <c r="G1241" s="365"/>
      <c r="H1241" s="365"/>
      <c r="I1241" s="365"/>
      <c r="J1241" s="478"/>
      <c r="K1241" s="478"/>
      <c r="L1241" s="478"/>
      <c r="M1241" s="478"/>
      <c r="N1241" s="478"/>
    </row>
    <row r="1242" spans="1:14" ht="10.5" customHeight="1">
      <c r="A1242" s="181"/>
      <c r="B1242" s="158"/>
      <c r="C1242" s="147"/>
      <c r="D1242" s="418"/>
      <c r="E1242" s="6">
        <v>3020</v>
      </c>
      <c r="F1242" s="123" t="s">
        <v>258</v>
      </c>
      <c r="G1242" s="365"/>
      <c r="H1242" s="365"/>
      <c r="I1242" s="365"/>
      <c r="J1242" s="478"/>
      <c r="K1242" s="478"/>
      <c r="L1242" s="478"/>
      <c r="M1242" s="478"/>
      <c r="N1242" s="478"/>
    </row>
    <row r="1243" spans="1:14" ht="10.5" customHeight="1">
      <c r="A1243" s="181"/>
      <c r="B1243" s="158"/>
      <c r="C1243" s="147"/>
      <c r="D1243" s="418"/>
      <c r="E1243" s="6">
        <v>1510</v>
      </c>
      <c r="F1243" s="123">
        <v>3</v>
      </c>
      <c r="G1243" s="365"/>
      <c r="H1243" s="365"/>
      <c r="I1243" s="365"/>
      <c r="J1243" s="478"/>
      <c r="K1243" s="478"/>
      <c r="L1243" s="478"/>
      <c r="M1243" s="478"/>
      <c r="N1243" s="478"/>
    </row>
    <row r="1244" spans="1:14" ht="10.5" customHeight="1">
      <c r="A1244" s="181"/>
      <c r="B1244" s="158"/>
      <c r="C1244" s="147"/>
      <c r="D1244" s="418"/>
      <c r="E1244" s="6">
        <v>10570</v>
      </c>
      <c r="F1244" s="123">
        <v>4</v>
      </c>
      <c r="G1244" s="365"/>
      <c r="H1244" s="365"/>
      <c r="I1244" s="365"/>
      <c r="J1244" s="478"/>
      <c r="K1244" s="478"/>
      <c r="L1244" s="478"/>
      <c r="M1244" s="478"/>
      <c r="N1244" s="478"/>
    </row>
    <row r="1245" spans="1:14" ht="10.5" customHeight="1">
      <c r="A1245" s="181"/>
      <c r="B1245" s="158"/>
      <c r="C1245" s="147"/>
      <c r="D1245" s="418"/>
      <c r="E1245" s="6">
        <f>E1240+E1241+E1243+E1244</f>
        <v>30200</v>
      </c>
      <c r="F1245" s="123">
        <v>5</v>
      </c>
      <c r="G1245" s="365"/>
      <c r="H1245" s="365"/>
      <c r="I1245" s="365"/>
      <c r="J1245" s="478"/>
      <c r="K1245" s="478"/>
      <c r="L1245" s="478"/>
      <c r="M1245" s="478"/>
      <c r="N1245" s="478"/>
    </row>
    <row r="1246" spans="1:14" ht="10.5" customHeight="1">
      <c r="A1246" s="194"/>
      <c r="B1246" s="158">
        <v>25</v>
      </c>
      <c r="C1246" s="195"/>
      <c r="D1246" s="428">
        <v>2014</v>
      </c>
      <c r="E1246" s="6">
        <v>12080</v>
      </c>
      <c r="F1246" s="123">
        <v>1</v>
      </c>
      <c r="G1246" s="337">
        <v>1.05</v>
      </c>
      <c r="H1246" s="337">
        <v>1627.2</v>
      </c>
      <c r="I1246" s="329">
        <v>0.904</v>
      </c>
      <c r="J1246" s="478"/>
      <c r="K1246" s="478"/>
      <c r="L1246" s="478"/>
      <c r="M1246" s="478"/>
      <c r="N1246" s="478"/>
    </row>
    <row r="1247" spans="1:14" ht="10.5" customHeight="1">
      <c r="A1247" s="194"/>
      <c r="B1247" s="158"/>
      <c r="C1247" s="195"/>
      <c r="D1247" s="428"/>
      <c r="E1247" s="6">
        <v>6040</v>
      </c>
      <c r="F1247" s="123">
        <v>2</v>
      </c>
      <c r="G1247" s="337"/>
      <c r="H1247" s="337"/>
      <c r="I1247" s="329"/>
      <c r="J1247" s="345"/>
      <c r="K1247" s="345"/>
      <c r="L1247" s="345"/>
      <c r="M1247" s="345"/>
      <c r="N1247" s="345"/>
    </row>
    <row r="1248" spans="1:14" ht="10.5" customHeight="1">
      <c r="A1248" s="194"/>
      <c r="B1248" s="158"/>
      <c r="C1248" s="195"/>
      <c r="D1248" s="428"/>
      <c r="E1248" s="6">
        <v>3020</v>
      </c>
      <c r="F1248" s="123" t="s">
        <v>258</v>
      </c>
      <c r="G1248" s="337"/>
      <c r="H1248" s="337"/>
      <c r="I1248" s="329"/>
      <c r="J1248" s="345"/>
      <c r="K1248" s="345"/>
      <c r="L1248" s="345"/>
      <c r="M1248" s="345"/>
      <c r="N1248" s="345"/>
    </row>
    <row r="1249" spans="1:14" ht="10.5" customHeight="1">
      <c r="A1249" s="194"/>
      <c r="B1249" s="158"/>
      <c r="C1249" s="195"/>
      <c r="D1249" s="428"/>
      <c r="E1249" s="6">
        <v>1510</v>
      </c>
      <c r="F1249" s="123">
        <v>3</v>
      </c>
      <c r="G1249" s="337"/>
      <c r="H1249" s="337"/>
      <c r="I1249" s="329"/>
      <c r="J1249" s="345"/>
      <c r="K1249" s="345"/>
      <c r="L1249" s="345"/>
      <c r="M1249" s="345"/>
      <c r="N1249" s="345"/>
    </row>
    <row r="1250" spans="1:14" ht="10.5" customHeight="1">
      <c r="A1250" s="194"/>
      <c r="B1250" s="158"/>
      <c r="C1250" s="195"/>
      <c r="D1250" s="428"/>
      <c r="E1250" s="6">
        <v>10570</v>
      </c>
      <c r="F1250" s="123">
        <v>4</v>
      </c>
      <c r="G1250" s="337"/>
      <c r="H1250" s="337"/>
      <c r="I1250" s="329"/>
      <c r="J1250" s="345"/>
      <c r="K1250" s="345"/>
      <c r="L1250" s="345"/>
      <c r="M1250" s="345"/>
      <c r="N1250" s="345"/>
    </row>
    <row r="1251" spans="1:14" ht="10.5" customHeight="1">
      <c r="A1251" s="194"/>
      <c r="B1251" s="158"/>
      <c r="C1251" s="195"/>
      <c r="D1251" s="428"/>
      <c r="E1251" s="6">
        <f>E1246+E1247+E1249+E1250</f>
        <v>30200</v>
      </c>
      <c r="F1251" s="123">
        <v>5</v>
      </c>
      <c r="G1251" s="337"/>
      <c r="H1251" s="337"/>
      <c r="I1251" s="329"/>
      <c r="J1251" s="345"/>
      <c r="K1251" s="345"/>
      <c r="L1251" s="345"/>
      <c r="M1251" s="345"/>
      <c r="N1251" s="345"/>
    </row>
    <row r="1252" spans="1:14" ht="11.25" customHeight="1">
      <c r="A1252" s="194"/>
      <c r="B1252" s="158">
        <v>25</v>
      </c>
      <c r="C1252" s="195"/>
      <c r="D1252" s="428">
        <v>2015</v>
      </c>
      <c r="E1252" s="6">
        <v>12080</v>
      </c>
      <c r="F1252" s="123">
        <v>1</v>
      </c>
      <c r="G1252" s="337">
        <v>1.05</v>
      </c>
      <c r="H1252" s="337">
        <v>1627.2</v>
      </c>
      <c r="I1252" s="329">
        <v>0.904</v>
      </c>
      <c r="J1252" s="467"/>
      <c r="K1252" s="467"/>
      <c r="L1252" s="467"/>
      <c r="M1252" s="467"/>
      <c r="N1252" s="340"/>
    </row>
    <row r="1253" spans="1:14" ht="10.5" customHeight="1">
      <c r="A1253" s="194"/>
      <c r="B1253" s="158"/>
      <c r="C1253" s="195"/>
      <c r="D1253" s="428"/>
      <c r="E1253" s="6">
        <v>6040</v>
      </c>
      <c r="F1253" s="123">
        <v>2</v>
      </c>
      <c r="G1253" s="337"/>
      <c r="H1253" s="337"/>
      <c r="I1253" s="329"/>
      <c r="J1253" s="467"/>
      <c r="K1253" s="467"/>
      <c r="L1253" s="467"/>
      <c r="M1253" s="467"/>
      <c r="N1253" s="340"/>
    </row>
    <row r="1254" spans="1:14" ht="11.25" customHeight="1">
      <c r="A1254" s="194"/>
      <c r="B1254" s="158"/>
      <c r="C1254" s="195"/>
      <c r="D1254" s="428"/>
      <c r="E1254" s="6">
        <v>3020</v>
      </c>
      <c r="F1254" s="123" t="s">
        <v>258</v>
      </c>
      <c r="G1254" s="337"/>
      <c r="H1254" s="337"/>
      <c r="I1254" s="329"/>
      <c r="J1254" s="467"/>
      <c r="K1254" s="467"/>
      <c r="L1254" s="467"/>
      <c r="M1254" s="467"/>
      <c r="N1254" s="340"/>
    </row>
    <row r="1255" spans="1:14" ht="10.5" customHeight="1">
      <c r="A1255" s="194"/>
      <c r="B1255" s="158"/>
      <c r="C1255" s="195"/>
      <c r="D1255" s="428"/>
      <c r="E1255" s="6">
        <v>1510</v>
      </c>
      <c r="F1255" s="123">
        <v>3</v>
      </c>
      <c r="G1255" s="337"/>
      <c r="H1255" s="337"/>
      <c r="I1255" s="329"/>
      <c r="J1255" s="467"/>
      <c r="K1255" s="467"/>
      <c r="L1255" s="467"/>
      <c r="M1255" s="467"/>
      <c r="N1255" s="340"/>
    </row>
    <row r="1256" spans="1:14" ht="10.5" customHeight="1">
      <c r="A1256" s="194"/>
      <c r="B1256" s="158"/>
      <c r="C1256" s="195"/>
      <c r="D1256" s="428"/>
      <c r="E1256" s="6">
        <v>10570</v>
      </c>
      <c r="F1256" s="123">
        <v>4</v>
      </c>
      <c r="G1256" s="337"/>
      <c r="H1256" s="337"/>
      <c r="I1256" s="329"/>
      <c r="J1256" s="467"/>
      <c r="K1256" s="467"/>
      <c r="L1256" s="467"/>
      <c r="M1256" s="467"/>
      <c r="N1256" s="340"/>
    </row>
    <row r="1257" spans="1:14" ht="10.5" customHeight="1">
      <c r="A1257" s="196"/>
      <c r="B1257" s="158"/>
      <c r="C1257" s="197"/>
      <c r="D1257" s="428"/>
      <c r="E1257" s="6">
        <f>E1252+E1253+E1255+E1256</f>
        <v>30200</v>
      </c>
      <c r="F1257" s="123">
        <v>5</v>
      </c>
      <c r="G1257" s="337"/>
      <c r="H1257" s="337"/>
      <c r="I1257" s="329"/>
      <c r="J1257" s="467"/>
      <c r="K1257" s="467"/>
      <c r="L1257" s="467"/>
      <c r="M1257" s="467"/>
      <c r="N1257" s="340"/>
    </row>
    <row r="1258" spans="1:14" ht="10.5" customHeight="1">
      <c r="A1258" s="388"/>
      <c r="B1258" s="198"/>
      <c r="C1258" s="375"/>
      <c r="D1258" s="400" t="s">
        <v>461</v>
      </c>
      <c r="E1258" s="200">
        <f>E1264+E1270+E1276+E1282+E1288</f>
        <v>1430654.434</v>
      </c>
      <c r="F1258" s="201">
        <v>1</v>
      </c>
      <c r="G1258" s="459">
        <f>G1264+G1270+G1276+G1282+G1288</f>
        <v>211.08218</v>
      </c>
      <c r="H1258" s="459">
        <f aca="true" t="shared" si="6" ref="H1258:M1258">H1264+H1270+H1276+H1282+H1288</f>
        <v>318950.702</v>
      </c>
      <c r="I1258" s="442">
        <f t="shared" si="6"/>
        <v>149.131</v>
      </c>
      <c r="J1258" s="442">
        <f t="shared" si="6"/>
        <v>1.11</v>
      </c>
      <c r="K1258" s="442">
        <f t="shared" si="6"/>
        <v>4.955</v>
      </c>
      <c r="L1258" s="442">
        <f t="shared" si="6"/>
        <v>70.27499999999999</v>
      </c>
      <c r="M1258" s="442">
        <f t="shared" si="6"/>
        <v>18.134999999999998</v>
      </c>
      <c r="N1258" s="459"/>
    </row>
    <row r="1259" spans="1:14" ht="11.25" customHeight="1">
      <c r="A1259" s="394"/>
      <c r="B1259" s="137"/>
      <c r="C1259" s="376"/>
      <c r="D1259" s="484"/>
      <c r="E1259" s="63">
        <f>E1265+E1271+E1277+E1283+E1289</f>
        <v>400455.953</v>
      </c>
      <c r="F1259" s="133">
        <v>2</v>
      </c>
      <c r="G1259" s="389"/>
      <c r="H1259" s="389"/>
      <c r="I1259" s="442"/>
      <c r="J1259" s="442"/>
      <c r="K1259" s="442"/>
      <c r="L1259" s="442"/>
      <c r="M1259" s="442"/>
      <c r="N1259" s="389"/>
    </row>
    <row r="1260" spans="1:14" ht="11.25" customHeight="1">
      <c r="A1260" s="394"/>
      <c r="B1260" s="137"/>
      <c r="C1260" s="376"/>
      <c r="D1260" s="484"/>
      <c r="E1260" s="63">
        <f>E1266+E1272+E1278+E1284+E1290</f>
        <v>215432.43</v>
      </c>
      <c r="F1260" s="133" t="s">
        <v>258</v>
      </c>
      <c r="G1260" s="389"/>
      <c r="H1260" s="389"/>
      <c r="I1260" s="442"/>
      <c r="J1260" s="442"/>
      <c r="K1260" s="442"/>
      <c r="L1260" s="442"/>
      <c r="M1260" s="442"/>
      <c r="N1260" s="389"/>
    </row>
    <row r="1261" spans="1:14" ht="10.5" customHeight="1">
      <c r="A1261" s="394"/>
      <c r="B1261" s="137"/>
      <c r="C1261" s="376"/>
      <c r="D1261" s="484"/>
      <c r="E1261" s="63">
        <f>E1267+E1273+E1279+E1285+E1291</f>
        <v>131062.50000000001</v>
      </c>
      <c r="F1261" s="133">
        <v>3</v>
      </c>
      <c r="G1261" s="389"/>
      <c r="H1261" s="389"/>
      <c r="I1261" s="442"/>
      <c r="J1261" s="442"/>
      <c r="K1261" s="442"/>
      <c r="L1261" s="442"/>
      <c r="M1261" s="442"/>
      <c r="N1261" s="389"/>
    </row>
    <row r="1262" spans="1:14" ht="11.25" customHeight="1">
      <c r="A1262" s="394"/>
      <c r="B1262" s="137"/>
      <c r="C1262" s="376"/>
      <c r="D1262" s="484"/>
      <c r="E1262" s="63">
        <f>E1268+E1274+E1280+E1286+E1292</f>
        <v>482681.75</v>
      </c>
      <c r="F1262" s="133">
        <v>4</v>
      </c>
      <c r="G1262" s="389"/>
      <c r="H1262" s="389"/>
      <c r="I1262" s="442"/>
      <c r="J1262" s="442"/>
      <c r="K1262" s="442"/>
      <c r="L1262" s="442"/>
      <c r="M1262" s="442"/>
      <c r="N1262" s="389"/>
    </row>
    <row r="1263" spans="1:14" ht="12" customHeight="1">
      <c r="A1263" s="394"/>
      <c r="B1263" s="137"/>
      <c r="C1263" s="376"/>
      <c r="D1263" s="484"/>
      <c r="E1263" s="63">
        <f>E1258+E1259+E1261+E1262</f>
        <v>2444854.637</v>
      </c>
      <c r="F1263" s="133">
        <v>5</v>
      </c>
      <c r="G1263" s="389"/>
      <c r="H1263" s="389"/>
      <c r="I1263" s="442"/>
      <c r="J1263" s="442"/>
      <c r="K1263" s="442"/>
      <c r="L1263" s="442"/>
      <c r="M1263" s="442"/>
      <c r="N1263" s="389"/>
    </row>
    <row r="1264" spans="1:14" ht="11.25" customHeight="1">
      <c r="A1264" s="394"/>
      <c r="B1264" s="203"/>
      <c r="C1264" s="376"/>
      <c r="D1264" s="460">
        <v>2011</v>
      </c>
      <c r="E1264" s="63">
        <f>E1228+E1187+E1171+E1136+E1100+E1092+E1061+E1020+E984+E948+E917+E886+E868+E831+E105+E1050-3206.6</f>
        <v>304840.02100000007</v>
      </c>
      <c r="F1264" s="133">
        <v>1</v>
      </c>
      <c r="G1264" s="459">
        <f>G1228+G1187+G1171+G1136+G1100+G1092+G1061+G1020+G984+G948+G917+G886+G868+G831+G1050</f>
        <v>45.02</v>
      </c>
      <c r="H1264" s="459">
        <f>H1228+H1187+H1171+H1136+H1100+H1092+H1061+H1020+H984+H948+H917+H886+H868+H831+H1050</f>
        <v>68622.52</v>
      </c>
      <c r="I1264" s="459">
        <f>I1228+I1187+I1171+I1136+I1100+I1092+I1061+I1020+I984+I948+I917+I886+I868+I831</f>
        <v>31.67</v>
      </c>
      <c r="J1264" s="459"/>
      <c r="K1264" s="481">
        <f>K1050</f>
        <v>0.755</v>
      </c>
      <c r="L1264" s="459">
        <f>L1228+L1187+L1171+L1136+L1100+L1092+L1061+L1020+L984+L948+L917+L886+L868+L831</f>
        <v>18.415999999999997</v>
      </c>
      <c r="M1264" s="481">
        <f>M1061+M984</f>
        <v>2.735</v>
      </c>
      <c r="N1264" s="459"/>
    </row>
    <row r="1265" spans="1:14" ht="11.25" customHeight="1">
      <c r="A1265" s="394"/>
      <c r="B1265" s="137"/>
      <c r="C1265" s="376"/>
      <c r="D1265" s="485"/>
      <c r="E1265" s="63">
        <f>E1229+E1188+E1172+E1137+E1101+E1062+E1021+E985+E949+E918+E887+E869+E832+E1051</f>
        <v>80132.93000000001</v>
      </c>
      <c r="F1265" s="133">
        <v>2</v>
      </c>
      <c r="G1265" s="389"/>
      <c r="H1265" s="389"/>
      <c r="I1265" s="389"/>
      <c r="J1265" s="389"/>
      <c r="K1265" s="482"/>
      <c r="L1265" s="459"/>
      <c r="M1265" s="482"/>
      <c r="N1265" s="389"/>
    </row>
    <row r="1266" spans="1:14" ht="11.25" customHeight="1">
      <c r="A1266" s="394"/>
      <c r="B1266" s="137"/>
      <c r="C1266" s="376"/>
      <c r="D1266" s="485"/>
      <c r="E1266" s="63">
        <f>E1230+E1189+E1173+E1138+E1102+E1063+E1022+E986+E950+E919+E888+E870+E833+E1052</f>
        <v>40066.47</v>
      </c>
      <c r="F1266" s="133" t="s">
        <v>258</v>
      </c>
      <c r="G1266" s="389"/>
      <c r="H1266" s="389"/>
      <c r="I1266" s="389"/>
      <c r="J1266" s="389"/>
      <c r="K1266" s="482"/>
      <c r="L1266" s="459"/>
      <c r="M1266" s="482"/>
      <c r="N1266" s="389"/>
    </row>
    <row r="1267" spans="1:14" ht="12" customHeight="1">
      <c r="A1267" s="394"/>
      <c r="B1267" s="137"/>
      <c r="C1267" s="376"/>
      <c r="D1267" s="485"/>
      <c r="E1267" s="63">
        <f>E1231+E1190+E1174+E1139+E1103+E1064+E1023+E987+E951+E920+E889+E871+E834+E1053</f>
        <v>29859.2</v>
      </c>
      <c r="F1267" s="133">
        <v>3</v>
      </c>
      <c r="G1267" s="389"/>
      <c r="H1267" s="389"/>
      <c r="I1267" s="389"/>
      <c r="J1267" s="389"/>
      <c r="K1267" s="482"/>
      <c r="L1267" s="459"/>
      <c r="M1267" s="482"/>
      <c r="N1267" s="389"/>
    </row>
    <row r="1268" spans="1:14" ht="11.25" customHeight="1">
      <c r="A1268" s="394"/>
      <c r="B1268" s="137"/>
      <c r="C1268" s="376"/>
      <c r="D1268" s="485"/>
      <c r="E1268" s="63">
        <f>E1232+E1191+E1140+E1104+E1065+E1024+E988+E952+E921+E835</f>
        <v>64435</v>
      </c>
      <c r="F1268" s="133">
        <v>4</v>
      </c>
      <c r="G1268" s="389"/>
      <c r="H1268" s="389"/>
      <c r="I1268" s="389"/>
      <c r="J1268" s="389"/>
      <c r="K1268" s="482"/>
      <c r="L1268" s="459"/>
      <c r="M1268" s="482"/>
      <c r="N1268" s="389"/>
    </row>
    <row r="1269" spans="1:14" ht="11.25" customHeight="1">
      <c r="A1269" s="394"/>
      <c r="B1269" s="137"/>
      <c r="C1269" s="376"/>
      <c r="D1269" s="485"/>
      <c r="E1269" s="63">
        <f>E1264+E1265+E1267+E1268</f>
        <v>479267.15100000007</v>
      </c>
      <c r="F1269" s="133">
        <v>5</v>
      </c>
      <c r="G1269" s="389"/>
      <c r="H1269" s="389"/>
      <c r="I1269" s="389"/>
      <c r="J1269" s="389"/>
      <c r="K1269" s="483"/>
      <c r="L1269" s="459"/>
      <c r="M1269" s="483"/>
      <c r="N1269" s="389"/>
    </row>
    <row r="1270" spans="1:14" ht="11.25" customHeight="1">
      <c r="A1270" s="394"/>
      <c r="B1270" s="137"/>
      <c r="C1270" s="376"/>
      <c r="D1270" s="460">
        <v>2012</v>
      </c>
      <c r="E1270" s="63">
        <f>E837+E873+E891+E923+E954+E990+E1026+E1067+E1106+E1142+E1176+E1193+E1234+E1093</f>
        <v>309771.01999999996</v>
      </c>
      <c r="F1270" s="133">
        <v>1</v>
      </c>
      <c r="G1270" s="459">
        <f>G837+G873+G891+G923+G954+G990+G1026+G1067+G1106+G1142+G1176+G1193+G1228</f>
        <v>39.013</v>
      </c>
      <c r="H1270" s="459">
        <f>H837+H873+H891+H923+H954+H990+H1026+H1067+H1106+H1142+H1176+H1193+H1234</f>
        <v>58922.902</v>
      </c>
      <c r="I1270" s="442">
        <f>I837+I873+I923+I954+I990+I1026+I1067+I1106+I1142+I1176+I1193+I1234</f>
        <v>28.109</v>
      </c>
      <c r="J1270" s="442"/>
      <c r="K1270" s="442"/>
      <c r="L1270" s="442">
        <f>L837+L873+L891+L923+L954+L990+L1026+L1067+L1106+L1142+L1176+L1234</f>
        <v>13.646999999999998</v>
      </c>
      <c r="M1270" s="442">
        <f>M1067+M990</f>
        <v>2.735</v>
      </c>
      <c r="N1270" s="442"/>
    </row>
    <row r="1271" spans="1:14" ht="12" customHeight="1">
      <c r="A1271" s="394"/>
      <c r="B1271" s="137"/>
      <c r="C1271" s="376"/>
      <c r="D1271" s="486"/>
      <c r="E1271" s="63">
        <f>E838+E874+E892+E955+E991+E1027+E1068+E1107+E1143+E1177+E1194+E1235</f>
        <v>76656.63</v>
      </c>
      <c r="F1271" s="133">
        <v>2</v>
      </c>
      <c r="G1271" s="389"/>
      <c r="H1271" s="389"/>
      <c r="I1271" s="442"/>
      <c r="J1271" s="389"/>
      <c r="K1271" s="389"/>
      <c r="L1271" s="442"/>
      <c r="M1271" s="442"/>
      <c r="N1271" s="389"/>
    </row>
    <row r="1272" spans="1:14" ht="11.25" customHeight="1">
      <c r="A1272" s="394"/>
      <c r="B1272" s="137"/>
      <c r="C1272" s="376"/>
      <c r="D1272" s="486"/>
      <c r="E1272" s="63">
        <f>E839+E875+E893+E956+E992+E1028+E1069+E1108+E1144+E1178+E1195+E1236</f>
        <v>38328.32000000001</v>
      </c>
      <c r="F1272" s="133" t="s">
        <v>258</v>
      </c>
      <c r="G1272" s="389"/>
      <c r="H1272" s="389"/>
      <c r="I1272" s="442"/>
      <c r="J1272" s="389"/>
      <c r="K1272" s="389"/>
      <c r="L1272" s="442"/>
      <c r="M1272" s="442"/>
      <c r="N1272" s="389"/>
    </row>
    <row r="1273" spans="1:14" ht="11.25" customHeight="1">
      <c r="A1273" s="394"/>
      <c r="B1273" s="137"/>
      <c r="C1273" s="376"/>
      <c r="D1273" s="486"/>
      <c r="E1273" s="63">
        <f>E840+E876+E894+E957+E993+E1029+E1070+E1109+E1145+E1179+E1196+E1237</f>
        <v>30345.600000000002</v>
      </c>
      <c r="F1273" s="133">
        <v>3</v>
      </c>
      <c r="G1273" s="389"/>
      <c r="H1273" s="389"/>
      <c r="I1273" s="442"/>
      <c r="J1273" s="389"/>
      <c r="K1273" s="389"/>
      <c r="L1273" s="442"/>
      <c r="M1273" s="442"/>
      <c r="N1273" s="389"/>
    </row>
    <row r="1274" spans="1:14" ht="11.25" customHeight="1">
      <c r="A1274" s="394"/>
      <c r="B1274" s="137"/>
      <c r="C1274" s="376"/>
      <c r="D1274" s="486"/>
      <c r="E1274" s="63">
        <f>E841+E958+E994+E1030+E1071+E1110+E1146+E1197+E1238</f>
        <v>62118</v>
      </c>
      <c r="F1274" s="133">
        <v>4</v>
      </c>
      <c r="G1274" s="389"/>
      <c r="H1274" s="389"/>
      <c r="I1274" s="442"/>
      <c r="J1274" s="389"/>
      <c r="K1274" s="389"/>
      <c r="L1274" s="442"/>
      <c r="M1274" s="442"/>
      <c r="N1274" s="389"/>
    </row>
    <row r="1275" spans="1:14" ht="11.25" customHeight="1">
      <c r="A1275" s="394"/>
      <c r="B1275" s="137"/>
      <c r="C1275" s="376"/>
      <c r="D1275" s="486"/>
      <c r="E1275" s="63">
        <f>E1270+E1271+E1273+E1274</f>
        <v>478891.24999999994</v>
      </c>
      <c r="F1275" s="133">
        <v>5</v>
      </c>
      <c r="G1275" s="389"/>
      <c r="H1275" s="389"/>
      <c r="I1275" s="442"/>
      <c r="J1275" s="389"/>
      <c r="K1275" s="389"/>
      <c r="L1275" s="442"/>
      <c r="M1275" s="442"/>
      <c r="N1275" s="389"/>
    </row>
    <row r="1276" spans="1:14" ht="12" customHeight="1">
      <c r="A1276" s="394"/>
      <c r="B1276" s="137"/>
      <c r="C1276" s="376"/>
      <c r="D1276" s="460">
        <v>2013</v>
      </c>
      <c r="E1276" s="63">
        <f>E844+E896+E924+E960+E996+E1032+E1073+E1112+E1148+E1204+E1240</f>
        <v>279959.421</v>
      </c>
      <c r="F1276" s="133">
        <v>1</v>
      </c>
      <c r="G1276" s="459">
        <f>G844+G878+G896+G924+G960+G996+G1032+G1073+G1112+G1148+G1204+G1240</f>
        <v>43.45954999999999</v>
      </c>
      <c r="H1276" s="459">
        <f aca="true" t="shared" si="7" ref="H1276:M1276">H1240+H1204+H1148+H1112+H1073+H1032+H996+H960+H924+H896+H878+H844</f>
        <v>68687.088</v>
      </c>
      <c r="I1276" s="442">
        <f t="shared" si="7"/>
        <v>27.208</v>
      </c>
      <c r="J1276" s="442">
        <f t="shared" si="7"/>
        <v>1.11</v>
      </c>
      <c r="K1276" s="442">
        <f t="shared" si="7"/>
        <v>4.2</v>
      </c>
      <c r="L1276" s="442">
        <f t="shared" si="7"/>
        <v>15.964</v>
      </c>
      <c r="M1276" s="442">
        <f t="shared" si="7"/>
        <v>2.735</v>
      </c>
      <c r="N1276" s="340"/>
    </row>
    <row r="1277" spans="1:14" ht="11.25" customHeight="1">
      <c r="A1277" s="394"/>
      <c r="B1277" s="137"/>
      <c r="C1277" s="376"/>
      <c r="D1277" s="486"/>
      <c r="E1277" s="63">
        <f>E845+E897+E925+E961+E997+E1033+E1074+E1113+E1149+E1205+E1241</f>
        <v>72342.291</v>
      </c>
      <c r="F1277" s="133">
        <v>2</v>
      </c>
      <c r="G1277" s="389"/>
      <c r="H1277" s="389"/>
      <c r="I1277" s="442"/>
      <c r="J1277" s="442"/>
      <c r="K1277" s="442"/>
      <c r="L1277" s="442"/>
      <c r="M1277" s="442"/>
      <c r="N1277" s="340"/>
    </row>
    <row r="1278" spans="1:14" ht="12" customHeight="1">
      <c r="A1278" s="394"/>
      <c r="B1278" s="137"/>
      <c r="C1278" s="376"/>
      <c r="D1278" s="486"/>
      <c r="E1278" s="63">
        <f>E846+E898+E926+E962+E998+E1034+E1075+E1114+E1150+E1206+E1242</f>
        <v>44491.649999999994</v>
      </c>
      <c r="F1278" s="133" t="s">
        <v>258</v>
      </c>
      <c r="G1278" s="389"/>
      <c r="H1278" s="389"/>
      <c r="I1278" s="442"/>
      <c r="J1278" s="442"/>
      <c r="K1278" s="442"/>
      <c r="L1278" s="442"/>
      <c r="M1278" s="442"/>
      <c r="N1278" s="340"/>
    </row>
    <row r="1279" spans="1:14" ht="11.25" customHeight="1">
      <c r="A1279" s="394"/>
      <c r="B1279" s="137"/>
      <c r="C1279" s="376"/>
      <c r="D1279" s="486"/>
      <c r="E1279" s="63">
        <f>E847+E899+E927+E963+E999+E1035+E1076+E1115+E1151+E1207+E1243</f>
        <v>24261.5</v>
      </c>
      <c r="F1279" s="133">
        <v>3</v>
      </c>
      <c r="G1279" s="389"/>
      <c r="H1279" s="389"/>
      <c r="I1279" s="442"/>
      <c r="J1279" s="442"/>
      <c r="K1279" s="442"/>
      <c r="L1279" s="442"/>
      <c r="M1279" s="442"/>
      <c r="N1279" s="340"/>
    </row>
    <row r="1280" spans="1:14" ht="11.25" customHeight="1">
      <c r="A1280" s="394"/>
      <c r="B1280" s="137"/>
      <c r="C1280" s="376"/>
      <c r="D1280" s="486"/>
      <c r="E1280" s="63">
        <f>E848+E878+E928+E964+E1000+E1036+E1077+E1116+E1152+E1208+E1244</f>
        <v>113003.53</v>
      </c>
      <c r="F1280" s="133">
        <v>4</v>
      </c>
      <c r="G1280" s="389"/>
      <c r="H1280" s="389"/>
      <c r="I1280" s="442"/>
      <c r="J1280" s="442"/>
      <c r="K1280" s="442"/>
      <c r="L1280" s="442"/>
      <c r="M1280" s="442"/>
      <c r="N1280" s="340"/>
    </row>
    <row r="1281" spans="1:14" ht="12" customHeight="1">
      <c r="A1281" s="413"/>
      <c r="B1281" s="148"/>
      <c r="C1281" s="377"/>
      <c r="D1281" s="486"/>
      <c r="E1281" s="63">
        <f>E1276+E1277+E1279+E1280</f>
        <v>489566.74199999997</v>
      </c>
      <c r="F1281" s="133">
        <v>5</v>
      </c>
      <c r="G1281" s="389"/>
      <c r="H1281" s="389"/>
      <c r="I1281" s="442"/>
      <c r="J1281" s="442"/>
      <c r="K1281" s="442"/>
      <c r="L1281" s="442"/>
      <c r="M1281" s="442"/>
      <c r="N1281" s="340"/>
    </row>
    <row r="1282" spans="1:14" ht="11.25" customHeight="1">
      <c r="A1282" s="57"/>
      <c r="B1282" s="150"/>
      <c r="C1282" s="199"/>
      <c r="D1282" s="460">
        <v>2014</v>
      </c>
      <c r="E1282" s="63">
        <f>E850+E901+E930+E1002+E1038+E1079+E1118+E1154+E1210+E1246+E966</f>
        <v>261492.86099999995</v>
      </c>
      <c r="F1282" s="133">
        <v>1</v>
      </c>
      <c r="G1282" s="459">
        <f>G850+G879+G901+G930+G966+G1002+G1038+G1079+G1118+G1154+G1210+G1246</f>
        <v>43.74241</v>
      </c>
      <c r="H1282" s="459">
        <f>H850+H879+H901+H930+H966+H1002+H1038+H1079+H1118+H1154+H1210+H1246</f>
        <v>64395.890999999996</v>
      </c>
      <c r="I1282" s="442">
        <f>I850+I879+I901+I930+I966+I1002+I1038+I1079+I1118+I1154+I1210+I1246</f>
        <v>32.727000000000004</v>
      </c>
      <c r="J1282" s="340"/>
      <c r="K1282" s="442"/>
      <c r="L1282" s="442">
        <f>L850+L879+L901+L930+L966+L1002+L1038+L1079+L1118+L1154+L1210+L1246</f>
        <v>11.264</v>
      </c>
      <c r="M1282" s="442">
        <f>M850+M1002+M1079</f>
        <v>4.965</v>
      </c>
      <c r="N1282" s="340"/>
    </row>
    <row r="1283" spans="1:14" ht="12" customHeight="1">
      <c r="A1283" s="38"/>
      <c r="B1283" s="137"/>
      <c r="C1283" s="202"/>
      <c r="D1283" s="460"/>
      <c r="E1283" s="63">
        <f>E851+E902+E931+E967+E1003+E1039+E1080+E1119+E1155+E1211+E1247</f>
        <v>63503.771</v>
      </c>
      <c r="F1283" s="133">
        <v>2</v>
      </c>
      <c r="G1283" s="389"/>
      <c r="H1283" s="389"/>
      <c r="I1283" s="442"/>
      <c r="J1283" s="340"/>
      <c r="K1283" s="442"/>
      <c r="L1283" s="442"/>
      <c r="M1283" s="442"/>
      <c r="N1283" s="340"/>
    </row>
    <row r="1284" spans="1:14" ht="12" customHeight="1">
      <c r="A1284" s="38"/>
      <c r="B1284" s="137"/>
      <c r="C1284" s="202"/>
      <c r="D1284" s="460"/>
      <c r="E1284" s="63">
        <f>E852+E903+E932+E968+E1004+E1040+E1081+E1120+E1156+E1212+E1248</f>
        <v>38635.82</v>
      </c>
      <c r="F1284" s="133" t="s">
        <v>258</v>
      </c>
      <c r="G1284" s="389"/>
      <c r="H1284" s="389"/>
      <c r="I1284" s="442"/>
      <c r="J1284" s="340"/>
      <c r="K1284" s="442"/>
      <c r="L1284" s="442"/>
      <c r="M1284" s="442"/>
      <c r="N1284" s="340"/>
    </row>
    <row r="1285" spans="1:14" ht="12" customHeight="1">
      <c r="A1285" s="38"/>
      <c r="B1285" s="137"/>
      <c r="C1285" s="202"/>
      <c r="D1285" s="460"/>
      <c r="E1285" s="63">
        <f>E853+E904+E933+E969+E1005+E1041+E1082+E1121+E1157+E1213+E1249</f>
        <v>23987.4</v>
      </c>
      <c r="F1285" s="133">
        <v>3</v>
      </c>
      <c r="G1285" s="389"/>
      <c r="H1285" s="389"/>
      <c r="I1285" s="442"/>
      <c r="J1285" s="340"/>
      <c r="K1285" s="442"/>
      <c r="L1285" s="442"/>
      <c r="M1285" s="442"/>
      <c r="N1285" s="340"/>
    </row>
    <row r="1286" spans="1:14" ht="12" customHeight="1">
      <c r="A1286" s="38"/>
      <c r="B1286" s="137"/>
      <c r="C1286" s="202"/>
      <c r="D1286" s="460"/>
      <c r="E1286" s="63">
        <f>E854+E879+E934+E970+E1006+E1042+E1083+E1122+E1158+E1214+E1250</f>
        <v>113840.92</v>
      </c>
      <c r="F1286" s="133">
        <v>4</v>
      </c>
      <c r="G1286" s="389"/>
      <c r="H1286" s="389"/>
      <c r="I1286" s="442"/>
      <c r="J1286" s="340"/>
      <c r="K1286" s="442"/>
      <c r="L1286" s="442"/>
      <c r="M1286" s="442"/>
      <c r="N1286" s="340"/>
    </row>
    <row r="1287" spans="1:14" ht="12" customHeight="1">
      <c r="A1287" s="38"/>
      <c r="B1287" s="137"/>
      <c r="C1287" s="202"/>
      <c r="D1287" s="460"/>
      <c r="E1287" s="63">
        <f>E1282+E1283+E1285+E1286</f>
        <v>462824.95199999993</v>
      </c>
      <c r="F1287" s="133">
        <v>5</v>
      </c>
      <c r="G1287" s="389"/>
      <c r="H1287" s="389"/>
      <c r="I1287" s="442"/>
      <c r="J1287" s="340"/>
      <c r="K1287" s="442"/>
      <c r="L1287" s="442"/>
      <c r="M1287" s="442"/>
      <c r="N1287" s="340"/>
    </row>
    <row r="1288" spans="1:14" ht="12" customHeight="1">
      <c r="A1288" s="128"/>
      <c r="B1288" s="137"/>
      <c r="C1288" s="128"/>
      <c r="D1288" s="460">
        <v>2015</v>
      </c>
      <c r="E1288" s="63">
        <f>E856+E906+E936+E972+E1008+E1044+E1085+E1124+E1160+E1216+E1252</f>
        <v>274591.1109999999</v>
      </c>
      <c r="F1288" s="133">
        <v>1</v>
      </c>
      <c r="G1288" s="459">
        <f>G856+G880+G906+G936+G972+G1008+G1044+G1085+G1124+G1160+G1216+G1252</f>
        <v>39.84722</v>
      </c>
      <c r="H1288" s="459">
        <f>H856+H880+H906+H936+H972+H1008+H1044+H1085+H1124+H1160+H1216+H1252</f>
        <v>58322.301</v>
      </c>
      <c r="I1288" s="442">
        <f>I856+I880+I906+I936+I972+I1008+I1044+I1085+I1124+I1160+I1216+I1252</f>
        <v>29.416999999999998</v>
      </c>
      <c r="J1288" s="340"/>
      <c r="K1288" s="340"/>
      <c r="L1288" s="340">
        <f>L856+L880+L906+L936+L972+L1008+L1044+L1085+L1124+L1160+L1216+L1252</f>
        <v>10.984</v>
      </c>
      <c r="M1288" s="340">
        <f>M856+M880+M906+M936+M972+M1008+M1044+M1085+M1124+M1160+M1216+M1252</f>
        <v>4.965</v>
      </c>
      <c r="N1288" s="340"/>
    </row>
    <row r="1289" spans="1:14" ht="12" customHeight="1">
      <c r="A1289" s="128"/>
      <c r="B1289" s="137"/>
      <c r="C1289" s="128"/>
      <c r="D1289" s="460"/>
      <c r="E1289" s="63">
        <f>E857+E907+E937+E973+E1009+E1045+E1086+E1125+E1161+E1217+E1253</f>
        <v>107820.33099999999</v>
      </c>
      <c r="F1289" s="133">
        <v>2</v>
      </c>
      <c r="G1289" s="389"/>
      <c r="H1289" s="389"/>
      <c r="I1289" s="389"/>
      <c r="J1289" s="340"/>
      <c r="K1289" s="340"/>
      <c r="L1289" s="340"/>
      <c r="M1289" s="340"/>
      <c r="N1289" s="340"/>
    </row>
    <row r="1290" spans="1:14" ht="12" customHeight="1">
      <c r="A1290" s="128"/>
      <c r="B1290" s="137"/>
      <c r="C1290" s="128"/>
      <c r="D1290" s="460"/>
      <c r="E1290" s="63">
        <f>E858+E908+E938+E974+E1010+E1046+E1087+E1126+E1162+E1218+E1254</f>
        <v>53910.17</v>
      </c>
      <c r="F1290" s="133" t="s">
        <v>258</v>
      </c>
      <c r="G1290" s="389"/>
      <c r="H1290" s="389"/>
      <c r="I1290" s="389"/>
      <c r="J1290" s="340"/>
      <c r="K1290" s="340"/>
      <c r="L1290" s="340"/>
      <c r="M1290" s="340"/>
      <c r="N1290" s="340"/>
    </row>
    <row r="1291" spans="1:14" ht="11.25" customHeight="1">
      <c r="A1291" s="128"/>
      <c r="B1291" s="137"/>
      <c r="C1291" s="128"/>
      <c r="D1291" s="460"/>
      <c r="E1291" s="63">
        <f>E859+E909+E939+E975+E1011+E1047+E1088+E1127+E1163+E1219+E1255</f>
        <v>22608.8</v>
      </c>
      <c r="F1291" s="133">
        <v>3</v>
      </c>
      <c r="G1291" s="389"/>
      <c r="H1291" s="389"/>
      <c r="I1291" s="389"/>
      <c r="J1291" s="340"/>
      <c r="K1291" s="340"/>
      <c r="L1291" s="340"/>
      <c r="M1291" s="340"/>
      <c r="N1291" s="340"/>
    </row>
    <row r="1292" spans="1:14" ht="11.25" customHeight="1">
      <c r="A1292" s="128"/>
      <c r="B1292" s="137"/>
      <c r="C1292" s="128"/>
      <c r="D1292" s="460"/>
      <c r="E1292" s="63">
        <f>E860+E880+E940+E976+E1012+E1048+E1089+E1128+E1164+E1220+E1256</f>
        <v>129284.3</v>
      </c>
      <c r="F1292" s="133">
        <v>4</v>
      </c>
      <c r="G1292" s="389"/>
      <c r="H1292" s="389"/>
      <c r="I1292" s="389"/>
      <c r="J1292" s="340"/>
      <c r="K1292" s="340"/>
      <c r="L1292" s="340"/>
      <c r="M1292" s="340"/>
      <c r="N1292" s="340"/>
    </row>
    <row r="1293" spans="1:14" ht="11.25" customHeight="1">
      <c r="A1293" s="130"/>
      <c r="B1293" s="204" t="s">
        <v>238</v>
      </c>
      <c r="C1293" s="130"/>
      <c r="D1293" s="460"/>
      <c r="E1293" s="63">
        <f>E1288+E1289+E1291+E1292</f>
        <v>534304.5419999999</v>
      </c>
      <c r="F1293" s="133">
        <v>5</v>
      </c>
      <c r="G1293" s="389"/>
      <c r="H1293" s="389"/>
      <c r="I1293" s="389"/>
      <c r="J1293" s="340"/>
      <c r="K1293" s="340"/>
      <c r="L1293" s="340"/>
      <c r="M1293" s="340"/>
      <c r="N1293" s="340"/>
    </row>
    <row r="1294" spans="1:14" ht="12.75" customHeight="1">
      <c r="A1294" s="635" t="s">
        <v>239</v>
      </c>
      <c r="B1294" s="441"/>
      <c r="C1294" s="441"/>
      <c r="D1294" s="441"/>
      <c r="E1294" s="441"/>
      <c r="F1294" s="441"/>
      <c r="G1294" s="441"/>
      <c r="H1294" s="441"/>
      <c r="I1294" s="441"/>
      <c r="J1294" s="441"/>
      <c r="K1294" s="441"/>
      <c r="L1294" s="441"/>
      <c r="M1294" s="441"/>
      <c r="N1294" s="441"/>
    </row>
    <row r="1295" spans="1:14" ht="11.25" customHeight="1">
      <c r="A1295" s="401">
        <v>132</v>
      </c>
      <c r="B1295" s="390" t="s">
        <v>228</v>
      </c>
      <c r="C1295" s="407" t="s">
        <v>19</v>
      </c>
      <c r="D1295" s="322" t="s">
        <v>120</v>
      </c>
      <c r="E1295" s="153">
        <f>E1300+E1304+E1307+E1311+E1315</f>
        <v>6646</v>
      </c>
      <c r="F1295" s="125">
        <v>1</v>
      </c>
      <c r="G1295" s="337"/>
      <c r="H1295" s="337">
        <f>H1300+H1304+H1307+H1311+H1315</f>
        <v>20.5</v>
      </c>
      <c r="I1295" s="576"/>
      <c r="J1295" s="576"/>
      <c r="K1295" s="576"/>
      <c r="L1295" s="329">
        <f>L1300+L1304+L1307+L1311+L1315</f>
        <v>0.035</v>
      </c>
      <c r="M1295" s="427"/>
      <c r="N1295" s="427"/>
    </row>
    <row r="1296" spans="1:14" ht="11.25" customHeight="1">
      <c r="A1296" s="386"/>
      <c r="B1296" s="390"/>
      <c r="C1296" s="386"/>
      <c r="D1296" s="322"/>
      <c r="E1296" s="153">
        <f>E1301+E1312</f>
        <v>1331</v>
      </c>
      <c r="F1296" s="125">
        <v>2</v>
      </c>
      <c r="G1296" s="337"/>
      <c r="H1296" s="337"/>
      <c r="I1296" s="576"/>
      <c r="J1296" s="576"/>
      <c r="K1296" s="576"/>
      <c r="L1296" s="329"/>
      <c r="M1296" s="427"/>
      <c r="N1296" s="427"/>
    </row>
    <row r="1297" spans="1:14" ht="11.25" customHeight="1">
      <c r="A1297" s="386"/>
      <c r="B1297" s="390"/>
      <c r="C1297" s="386"/>
      <c r="D1297" s="491"/>
      <c r="E1297" s="153">
        <f>E1302+E1305+E1308+E1313+E1316</f>
        <v>1769</v>
      </c>
      <c r="F1297" s="125">
        <v>3</v>
      </c>
      <c r="G1297" s="337"/>
      <c r="H1297" s="337"/>
      <c r="I1297" s="623"/>
      <c r="J1297" s="550"/>
      <c r="K1297" s="550"/>
      <c r="L1297" s="624"/>
      <c r="M1297" s="427"/>
      <c r="N1297" s="427"/>
    </row>
    <row r="1298" spans="1:14" ht="11.25" customHeight="1">
      <c r="A1298" s="386"/>
      <c r="B1298" s="395"/>
      <c r="C1298" s="386"/>
      <c r="D1298" s="491"/>
      <c r="E1298" s="153">
        <f>E1309</f>
        <v>3182.55</v>
      </c>
      <c r="F1298" s="125">
        <v>4</v>
      </c>
      <c r="G1298" s="337"/>
      <c r="H1298" s="337"/>
      <c r="I1298" s="623"/>
      <c r="J1298" s="550"/>
      <c r="K1298" s="550"/>
      <c r="L1298" s="624"/>
      <c r="M1298" s="427"/>
      <c r="N1298" s="427"/>
    </row>
    <row r="1299" spans="1:14" ht="10.5" customHeight="1">
      <c r="A1299" s="386"/>
      <c r="B1299" s="395"/>
      <c r="C1299" s="386"/>
      <c r="D1299" s="491"/>
      <c r="E1299" s="153">
        <f>E1295+E1296+E1297+E1298</f>
        <v>12928.55</v>
      </c>
      <c r="F1299" s="125">
        <v>5</v>
      </c>
      <c r="G1299" s="337"/>
      <c r="H1299" s="337"/>
      <c r="I1299" s="623"/>
      <c r="J1299" s="550"/>
      <c r="K1299" s="550"/>
      <c r="L1299" s="624"/>
      <c r="M1299" s="427"/>
      <c r="N1299" s="427"/>
    </row>
    <row r="1300" spans="1:14" ht="11.25" customHeight="1">
      <c r="A1300" s="386"/>
      <c r="B1300" s="155" t="s">
        <v>227</v>
      </c>
      <c r="C1300" s="378"/>
      <c r="D1300" s="322">
        <v>2011</v>
      </c>
      <c r="E1300" s="135">
        <v>1976</v>
      </c>
      <c r="F1300" s="17">
        <v>1</v>
      </c>
      <c r="G1300" s="480"/>
      <c r="H1300" s="480">
        <v>4.1</v>
      </c>
      <c r="I1300" s="495"/>
      <c r="J1300" s="495"/>
      <c r="K1300" s="495"/>
      <c r="L1300" s="492">
        <v>0.007</v>
      </c>
      <c r="M1300" s="496"/>
      <c r="N1300" s="496"/>
    </row>
    <row r="1301" spans="1:14" ht="11.25" customHeight="1">
      <c r="A1301" s="386"/>
      <c r="B1301" s="158"/>
      <c r="C1301" s="378"/>
      <c r="D1301" s="322"/>
      <c r="E1301" s="135">
        <v>851</v>
      </c>
      <c r="F1301" s="17">
        <v>2</v>
      </c>
      <c r="G1301" s="480"/>
      <c r="H1301" s="480"/>
      <c r="I1301" s="495"/>
      <c r="J1301" s="495"/>
      <c r="K1301" s="495"/>
      <c r="L1301" s="492"/>
      <c r="M1301" s="496"/>
      <c r="N1301" s="496"/>
    </row>
    <row r="1302" spans="1:14" ht="11.25" customHeight="1">
      <c r="A1302" s="386"/>
      <c r="B1302" s="158"/>
      <c r="C1302" s="378"/>
      <c r="D1302" s="322"/>
      <c r="E1302" s="135">
        <v>853</v>
      </c>
      <c r="F1302" s="17">
        <v>3</v>
      </c>
      <c r="G1302" s="480"/>
      <c r="H1302" s="480"/>
      <c r="I1302" s="465"/>
      <c r="J1302" s="465"/>
      <c r="K1302" s="465"/>
      <c r="L1302" s="492"/>
      <c r="M1302" s="496"/>
      <c r="N1302" s="496"/>
    </row>
    <row r="1303" spans="1:14" ht="11.25" customHeight="1">
      <c r="A1303" s="386"/>
      <c r="B1303" s="158"/>
      <c r="C1303" s="378"/>
      <c r="D1303" s="322"/>
      <c r="E1303" s="135">
        <f>E1300+E1301+E1302</f>
        <v>3680</v>
      </c>
      <c r="F1303" s="17">
        <v>5</v>
      </c>
      <c r="G1303" s="480"/>
      <c r="H1303" s="480"/>
      <c r="I1303" s="465"/>
      <c r="J1303" s="465"/>
      <c r="K1303" s="465"/>
      <c r="L1303" s="492"/>
      <c r="M1303" s="496"/>
      <c r="N1303" s="496"/>
    </row>
    <row r="1304" spans="1:14" ht="12" customHeight="1">
      <c r="A1304" s="386"/>
      <c r="B1304" s="158" t="s">
        <v>227</v>
      </c>
      <c r="C1304" s="378"/>
      <c r="D1304" s="322">
        <v>2012</v>
      </c>
      <c r="E1304" s="135">
        <v>200</v>
      </c>
      <c r="F1304" s="17">
        <v>1</v>
      </c>
      <c r="G1304" s="480"/>
      <c r="H1304" s="480">
        <v>4.1</v>
      </c>
      <c r="I1304" s="495"/>
      <c r="J1304" s="495"/>
      <c r="K1304" s="495"/>
      <c r="L1304" s="492">
        <v>0.007</v>
      </c>
      <c r="M1304" s="496"/>
      <c r="N1304" s="496"/>
    </row>
    <row r="1305" spans="1:14" ht="11.25" customHeight="1">
      <c r="A1305" s="386"/>
      <c r="B1305" s="158"/>
      <c r="C1305" s="378"/>
      <c r="D1305" s="322"/>
      <c r="E1305" s="135">
        <v>80</v>
      </c>
      <c r="F1305" s="17">
        <v>3</v>
      </c>
      <c r="G1305" s="480"/>
      <c r="H1305" s="480"/>
      <c r="I1305" s="465"/>
      <c r="J1305" s="465"/>
      <c r="K1305" s="465"/>
      <c r="L1305" s="492"/>
      <c r="M1305" s="496"/>
      <c r="N1305" s="496"/>
    </row>
    <row r="1306" spans="1:14" ht="11.25" customHeight="1">
      <c r="A1306" s="386"/>
      <c r="B1306" s="158"/>
      <c r="C1306" s="378"/>
      <c r="D1306" s="322"/>
      <c r="E1306" s="135">
        <f>E1304+E1305</f>
        <v>280</v>
      </c>
      <c r="F1306" s="17">
        <v>5</v>
      </c>
      <c r="G1306" s="480"/>
      <c r="H1306" s="480"/>
      <c r="I1306" s="465"/>
      <c r="J1306" s="465"/>
      <c r="K1306" s="465"/>
      <c r="L1306" s="492"/>
      <c r="M1306" s="496"/>
      <c r="N1306" s="496"/>
    </row>
    <row r="1307" spans="1:14" ht="11.25" customHeight="1">
      <c r="A1307" s="386"/>
      <c r="B1307" s="158" t="s">
        <v>227</v>
      </c>
      <c r="C1307" s="378"/>
      <c r="D1307" s="322">
        <v>2013</v>
      </c>
      <c r="E1307" s="135">
        <v>3400</v>
      </c>
      <c r="F1307" s="17">
        <v>1</v>
      </c>
      <c r="G1307" s="480"/>
      <c r="H1307" s="480">
        <v>4.1</v>
      </c>
      <c r="I1307" s="495"/>
      <c r="J1307" s="495"/>
      <c r="K1307" s="495"/>
      <c r="L1307" s="492">
        <v>0.007</v>
      </c>
      <c r="M1307" s="496"/>
      <c r="N1307" s="496"/>
    </row>
    <row r="1308" spans="1:14" ht="12" customHeight="1">
      <c r="A1308" s="386"/>
      <c r="B1308" s="158"/>
      <c r="C1308" s="378"/>
      <c r="D1308" s="322"/>
      <c r="E1308" s="135">
        <v>226</v>
      </c>
      <c r="F1308" s="17">
        <v>3</v>
      </c>
      <c r="G1308" s="480"/>
      <c r="H1308" s="480"/>
      <c r="I1308" s="465"/>
      <c r="J1308" s="465"/>
      <c r="K1308" s="465"/>
      <c r="L1308" s="492"/>
      <c r="M1308" s="496"/>
      <c r="N1308" s="496"/>
    </row>
    <row r="1309" spans="1:14" ht="11.25" customHeight="1">
      <c r="A1309" s="386"/>
      <c r="B1309" s="158"/>
      <c r="C1309" s="378"/>
      <c r="D1309" s="322"/>
      <c r="E1309" s="135">
        <v>3182.55</v>
      </c>
      <c r="F1309" s="17">
        <v>4</v>
      </c>
      <c r="G1309" s="480"/>
      <c r="H1309" s="480"/>
      <c r="I1309" s="465"/>
      <c r="J1309" s="465"/>
      <c r="K1309" s="465"/>
      <c r="L1309" s="492"/>
      <c r="M1309" s="496"/>
      <c r="N1309" s="496"/>
    </row>
    <row r="1310" spans="1:14" ht="11.25" customHeight="1">
      <c r="A1310" s="386"/>
      <c r="B1310" s="158"/>
      <c r="C1310" s="378"/>
      <c r="D1310" s="322"/>
      <c r="E1310" s="135">
        <f>E1307+E1308+E1309</f>
        <v>6808.55</v>
      </c>
      <c r="F1310" s="17">
        <v>5</v>
      </c>
      <c r="G1310" s="480"/>
      <c r="H1310" s="480"/>
      <c r="I1310" s="465"/>
      <c r="J1310" s="465"/>
      <c r="K1310" s="465"/>
      <c r="L1310" s="492"/>
      <c r="M1310" s="496"/>
      <c r="N1310" s="496"/>
    </row>
    <row r="1311" spans="1:14" ht="12" customHeight="1">
      <c r="A1311" s="386"/>
      <c r="B1311" s="158" t="s">
        <v>227</v>
      </c>
      <c r="C1311" s="378"/>
      <c r="D1311" s="322">
        <v>2014</v>
      </c>
      <c r="E1311" s="135">
        <v>870</v>
      </c>
      <c r="F1311" s="17">
        <v>1</v>
      </c>
      <c r="G1311" s="480"/>
      <c r="H1311" s="480">
        <v>4.1</v>
      </c>
      <c r="I1311" s="495"/>
      <c r="J1311" s="495"/>
      <c r="K1311" s="495"/>
      <c r="L1311" s="492">
        <v>0.007</v>
      </c>
      <c r="M1311" s="496"/>
      <c r="N1311" s="496"/>
    </row>
    <row r="1312" spans="1:14" ht="11.25" customHeight="1">
      <c r="A1312" s="386"/>
      <c r="B1312" s="158"/>
      <c r="C1312" s="378"/>
      <c r="D1312" s="322"/>
      <c r="E1312" s="135">
        <v>480</v>
      </c>
      <c r="F1312" s="17">
        <v>2</v>
      </c>
      <c r="G1312" s="480"/>
      <c r="H1312" s="480"/>
      <c r="I1312" s="495"/>
      <c r="J1312" s="495"/>
      <c r="K1312" s="495"/>
      <c r="L1312" s="492"/>
      <c r="M1312" s="496"/>
      <c r="N1312" s="496"/>
    </row>
    <row r="1313" spans="1:14" ht="10.5" customHeight="1">
      <c r="A1313" s="386"/>
      <c r="B1313" s="205"/>
      <c r="C1313" s="378"/>
      <c r="D1313" s="322"/>
      <c r="E1313" s="135">
        <v>530</v>
      </c>
      <c r="F1313" s="17">
        <v>3</v>
      </c>
      <c r="G1313" s="480"/>
      <c r="H1313" s="480"/>
      <c r="I1313" s="465"/>
      <c r="J1313" s="465"/>
      <c r="K1313" s="465"/>
      <c r="L1313" s="492"/>
      <c r="M1313" s="496"/>
      <c r="N1313" s="496"/>
    </row>
    <row r="1314" spans="1:14" ht="10.5" customHeight="1">
      <c r="A1314" s="386"/>
      <c r="B1314" s="205"/>
      <c r="C1314" s="378"/>
      <c r="D1314" s="322"/>
      <c r="E1314" s="135">
        <f>E1311+E1313+E1312</f>
        <v>1880</v>
      </c>
      <c r="F1314" s="17">
        <v>5</v>
      </c>
      <c r="G1314" s="480"/>
      <c r="H1314" s="480"/>
      <c r="I1314" s="465"/>
      <c r="J1314" s="465"/>
      <c r="K1314" s="465"/>
      <c r="L1314" s="492"/>
      <c r="M1314" s="496"/>
      <c r="N1314" s="496"/>
    </row>
    <row r="1315" spans="1:14" ht="10.5" customHeight="1">
      <c r="A1315" s="386"/>
      <c r="B1315" s="158" t="s">
        <v>227</v>
      </c>
      <c r="C1315" s="378"/>
      <c r="D1315" s="417">
        <v>2015</v>
      </c>
      <c r="E1315" s="135">
        <v>200</v>
      </c>
      <c r="F1315" s="17">
        <v>1</v>
      </c>
      <c r="G1315" s="480"/>
      <c r="H1315" s="480">
        <v>4.1</v>
      </c>
      <c r="I1315" s="495"/>
      <c r="J1315" s="495"/>
      <c r="K1315" s="495"/>
      <c r="L1315" s="492">
        <v>0.007</v>
      </c>
      <c r="M1315" s="467"/>
      <c r="N1315" s="340"/>
    </row>
    <row r="1316" spans="1:14" ht="11.25" customHeight="1">
      <c r="A1316" s="386"/>
      <c r="B1316" s="33"/>
      <c r="C1316" s="378"/>
      <c r="D1316" s="417"/>
      <c r="E1316" s="135">
        <v>80</v>
      </c>
      <c r="F1316" s="17">
        <v>3</v>
      </c>
      <c r="G1316" s="480"/>
      <c r="H1316" s="480"/>
      <c r="I1316" s="465"/>
      <c r="J1316" s="465"/>
      <c r="K1316" s="465"/>
      <c r="L1316" s="492"/>
      <c r="M1316" s="467"/>
      <c r="N1316" s="340"/>
    </row>
    <row r="1317" spans="1:14" ht="11.25" customHeight="1">
      <c r="A1317" s="387"/>
      <c r="B1317" s="76"/>
      <c r="C1317" s="379"/>
      <c r="D1317" s="417"/>
      <c r="E1317" s="135">
        <f>E1315+E1316</f>
        <v>280</v>
      </c>
      <c r="F1317" s="17">
        <v>5</v>
      </c>
      <c r="G1317" s="480"/>
      <c r="H1317" s="480"/>
      <c r="I1317" s="465"/>
      <c r="J1317" s="465"/>
      <c r="K1317" s="465"/>
      <c r="L1317" s="492"/>
      <c r="M1317" s="467"/>
      <c r="N1317" s="340"/>
    </row>
    <row r="1318" spans="1:14" ht="12.75" customHeight="1">
      <c r="A1318" s="152">
        <v>133</v>
      </c>
      <c r="B1318" s="395" t="s">
        <v>229</v>
      </c>
      <c r="C1318" s="407" t="s">
        <v>287</v>
      </c>
      <c r="D1318" s="322" t="s">
        <v>120</v>
      </c>
      <c r="E1318" s="135">
        <f>E1322+E1325+E1329+E1333+E1337</f>
        <v>36207.1</v>
      </c>
      <c r="F1318" s="206">
        <v>1</v>
      </c>
      <c r="G1318" s="480">
        <f>G1322+G1325+G1329+G1333+G1337</f>
        <v>1.58</v>
      </c>
      <c r="H1318" s="480">
        <f>H1322+H1325+H1329+H1333+H1337</f>
        <v>2697.2</v>
      </c>
      <c r="I1318" s="329"/>
      <c r="J1318" s="329"/>
      <c r="K1318" s="329"/>
      <c r="L1318" s="492">
        <f>L1322+L1325+L1329+L1333+L1337</f>
        <v>3.8419999999999996</v>
      </c>
      <c r="M1318" s="329"/>
      <c r="N1318" s="329"/>
    </row>
    <row r="1319" spans="1:14" ht="12" customHeight="1">
      <c r="A1319" s="171"/>
      <c r="B1319" s="396"/>
      <c r="C1319" s="408"/>
      <c r="D1319" s="418"/>
      <c r="E1319" s="135">
        <f>E1326+E1330+E1334+E1338</f>
        <v>199.4</v>
      </c>
      <c r="F1319" s="206">
        <v>2</v>
      </c>
      <c r="G1319" s="566"/>
      <c r="H1319" s="365"/>
      <c r="I1319" s="329"/>
      <c r="J1319" s="329"/>
      <c r="K1319" s="329"/>
      <c r="L1319" s="365"/>
      <c r="M1319" s="329"/>
      <c r="N1319" s="329"/>
    </row>
    <row r="1320" spans="1:14" ht="11.25" customHeight="1">
      <c r="A1320" s="171"/>
      <c r="B1320" s="396"/>
      <c r="C1320" s="408"/>
      <c r="D1320" s="418"/>
      <c r="E1320" s="135">
        <f>E1323+E1327+E1331+E1335+E1339</f>
        <v>1038.3</v>
      </c>
      <c r="F1320" s="206">
        <v>3</v>
      </c>
      <c r="G1320" s="566"/>
      <c r="H1320" s="365"/>
      <c r="I1320" s="329"/>
      <c r="J1320" s="329"/>
      <c r="K1320" s="329"/>
      <c r="L1320" s="365"/>
      <c r="M1320" s="329"/>
      <c r="N1320" s="329"/>
    </row>
    <row r="1321" spans="1:14" ht="11.25" customHeight="1">
      <c r="A1321" s="171"/>
      <c r="B1321" s="81"/>
      <c r="C1321" s="408"/>
      <c r="D1321" s="418"/>
      <c r="E1321" s="135">
        <f>E1318+E1319+E1320</f>
        <v>37444.8</v>
      </c>
      <c r="F1321" s="206">
        <v>5</v>
      </c>
      <c r="G1321" s="566"/>
      <c r="H1321" s="365"/>
      <c r="I1321" s="329"/>
      <c r="J1321" s="329"/>
      <c r="K1321" s="329"/>
      <c r="L1321" s="365"/>
      <c r="M1321" s="329"/>
      <c r="N1321" s="329"/>
    </row>
    <row r="1322" spans="1:14" ht="12.75" customHeight="1">
      <c r="A1322" s="171"/>
      <c r="B1322" s="81">
        <v>52</v>
      </c>
      <c r="C1322" s="408"/>
      <c r="D1322" s="428">
        <v>2011</v>
      </c>
      <c r="E1322" s="135">
        <v>7050</v>
      </c>
      <c r="F1322" s="206">
        <v>1</v>
      </c>
      <c r="G1322" s="480">
        <v>0.26</v>
      </c>
      <c r="H1322" s="337">
        <v>516</v>
      </c>
      <c r="I1322" s="329"/>
      <c r="J1322" s="329"/>
      <c r="K1322" s="329"/>
      <c r="L1322" s="329">
        <v>0.737</v>
      </c>
      <c r="M1322" s="329"/>
      <c r="N1322" s="329"/>
    </row>
    <row r="1323" spans="1:14" ht="12" customHeight="1">
      <c r="A1323" s="171"/>
      <c r="B1323" s="81"/>
      <c r="C1323" s="408"/>
      <c r="D1323" s="428"/>
      <c r="E1323" s="135">
        <v>200</v>
      </c>
      <c r="F1323" s="206">
        <v>3</v>
      </c>
      <c r="G1323" s="480"/>
      <c r="H1323" s="337"/>
      <c r="I1323" s="329"/>
      <c r="J1323" s="329"/>
      <c r="K1323" s="329"/>
      <c r="L1323" s="329"/>
      <c r="M1323" s="329"/>
      <c r="N1323" s="329"/>
    </row>
    <row r="1324" spans="1:14" ht="12" customHeight="1">
      <c r="A1324" s="171"/>
      <c r="B1324" s="81"/>
      <c r="C1324" s="408"/>
      <c r="D1324" s="428"/>
      <c r="E1324" s="135">
        <f>E1322+E1323</f>
        <v>7250</v>
      </c>
      <c r="F1324" s="206">
        <v>5</v>
      </c>
      <c r="G1324" s="480"/>
      <c r="H1324" s="337"/>
      <c r="I1324" s="329"/>
      <c r="J1324" s="329"/>
      <c r="K1324" s="329"/>
      <c r="L1324" s="329"/>
      <c r="M1324" s="329"/>
      <c r="N1324" s="329"/>
    </row>
    <row r="1325" spans="1:14" ht="11.25" customHeight="1">
      <c r="A1325" s="171"/>
      <c r="B1325" s="207">
        <v>53</v>
      </c>
      <c r="C1325" s="408"/>
      <c r="D1325" s="428">
        <v>2012</v>
      </c>
      <c r="E1325" s="135">
        <v>7310.2</v>
      </c>
      <c r="F1325" s="206">
        <v>1</v>
      </c>
      <c r="G1325" s="480">
        <v>0.27</v>
      </c>
      <c r="H1325" s="337">
        <v>538.8</v>
      </c>
      <c r="I1325" s="329"/>
      <c r="J1325" s="329"/>
      <c r="K1325" s="329"/>
      <c r="L1325" s="329">
        <v>0.776</v>
      </c>
      <c r="M1325" s="329"/>
      <c r="N1325" s="329"/>
    </row>
    <row r="1326" spans="1:14" ht="12" customHeight="1">
      <c r="A1326" s="171"/>
      <c r="B1326" s="81"/>
      <c r="C1326" s="408"/>
      <c r="D1326" s="428"/>
      <c r="E1326" s="135">
        <v>54.2</v>
      </c>
      <c r="F1326" s="206">
        <v>2</v>
      </c>
      <c r="G1326" s="480"/>
      <c r="H1326" s="337"/>
      <c r="I1326" s="329"/>
      <c r="J1326" s="329"/>
      <c r="K1326" s="329"/>
      <c r="L1326" s="329"/>
      <c r="M1326" s="329"/>
      <c r="N1326" s="329"/>
    </row>
    <row r="1327" spans="1:14" ht="12" customHeight="1">
      <c r="A1327" s="171"/>
      <c r="B1327" s="81"/>
      <c r="C1327" s="408"/>
      <c r="D1327" s="428"/>
      <c r="E1327" s="135">
        <v>210.4</v>
      </c>
      <c r="F1327" s="206">
        <v>3</v>
      </c>
      <c r="G1327" s="480"/>
      <c r="H1327" s="337"/>
      <c r="I1327" s="329"/>
      <c r="J1327" s="329"/>
      <c r="K1327" s="329"/>
      <c r="L1327" s="329"/>
      <c r="M1327" s="329"/>
      <c r="N1327" s="329"/>
    </row>
    <row r="1328" spans="1:14" ht="12" customHeight="1">
      <c r="A1328" s="171"/>
      <c r="B1328" s="81"/>
      <c r="C1328" s="408"/>
      <c r="D1328" s="428"/>
      <c r="E1328" s="135">
        <f>E1325+E1326+E1327</f>
        <v>7574.799999999999</v>
      </c>
      <c r="F1328" s="206">
        <v>5</v>
      </c>
      <c r="G1328" s="480"/>
      <c r="H1328" s="337"/>
      <c r="I1328" s="329"/>
      <c r="J1328" s="329"/>
      <c r="K1328" s="329"/>
      <c r="L1328" s="329"/>
      <c r="M1328" s="329"/>
      <c r="N1328" s="329"/>
    </row>
    <row r="1329" spans="1:14" ht="11.25" customHeight="1">
      <c r="A1329" s="171"/>
      <c r="B1329" s="81">
        <v>41</v>
      </c>
      <c r="C1329" s="408"/>
      <c r="D1329" s="428">
        <v>2013</v>
      </c>
      <c r="E1329" s="135">
        <v>7282.3</v>
      </c>
      <c r="F1329" s="206">
        <v>1</v>
      </c>
      <c r="G1329" s="480">
        <v>0.27</v>
      </c>
      <c r="H1329" s="337">
        <v>538.8</v>
      </c>
      <c r="I1329" s="329"/>
      <c r="J1329" s="329"/>
      <c r="K1329" s="329"/>
      <c r="L1329" s="329">
        <v>0.777</v>
      </c>
      <c r="M1329" s="329"/>
      <c r="N1329" s="329"/>
    </row>
    <row r="1330" spans="1:14" ht="11.25" customHeight="1">
      <c r="A1330" s="171"/>
      <c r="B1330" s="81"/>
      <c r="C1330" s="408"/>
      <c r="D1330" s="428"/>
      <c r="E1330" s="135">
        <v>48.4</v>
      </c>
      <c r="F1330" s="206">
        <v>2</v>
      </c>
      <c r="G1330" s="480"/>
      <c r="H1330" s="365"/>
      <c r="I1330" s="329"/>
      <c r="J1330" s="329"/>
      <c r="K1330" s="329"/>
      <c r="L1330" s="365"/>
      <c r="M1330" s="329"/>
      <c r="N1330" s="329"/>
    </row>
    <row r="1331" spans="1:14" ht="11.25" customHeight="1">
      <c r="A1331" s="171"/>
      <c r="B1331" s="81"/>
      <c r="C1331" s="408"/>
      <c r="D1331" s="428"/>
      <c r="E1331" s="135">
        <v>209.3</v>
      </c>
      <c r="F1331" s="206">
        <v>3</v>
      </c>
      <c r="G1331" s="480"/>
      <c r="H1331" s="365"/>
      <c r="I1331" s="329"/>
      <c r="J1331" s="329"/>
      <c r="K1331" s="329"/>
      <c r="L1331" s="365"/>
      <c r="M1331" s="329"/>
      <c r="N1331" s="329"/>
    </row>
    <row r="1332" spans="1:14" ht="12" customHeight="1">
      <c r="A1332" s="172"/>
      <c r="B1332" s="162"/>
      <c r="C1332" s="409"/>
      <c r="D1332" s="428"/>
      <c r="E1332" s="135">
        <f>E1329+E1330+E1331</f>
        <v>7540</v>
      </c>
      <c r="F1332" s="206">
        <v>5</v>
      </c>
      <c r="G1332" s="480"/>
      <c r="H1332" s="365"/>
      <c r="I1332" s="329"/>
      <c r="J1332" s="329"/>
      <c r="K1332" s="329"/>
      <c r="L1332" s="365"/>
      <c r="M1332" s="329"/>
      <c r="N1332" s="329"/>
    </row>
    <row r="1333" spans="1:14" ht="12" customHeight="1">
      <c r="A1333" s="152"/>
      <c r="B1333" s="18">
        <v>8</v>
      </c>
      <c r="C1333" s="18"/>
      <c r="D1333" s="428">
        <v>2014</v>
      </c>
      <c r="E1333" s="135">
        <v>7282.3</v>
      </c>
      <c r="F1333" s="206">
        <v>1</v>
      </c>
      <c r="G1333" s="480">
        <v>0.39</v>
      </c>
      <c r="H1333" s="337">
        <v>551.8</v>
      </c>
      <c r="I1333" s="329"/>
      <c r="J1333" s="329"/>
      <c r="K1333" s="329"/>
      <c r="L1333" s="329">
        <v>0.776</v>
      </c>
      <c r="M1333" s="329"/>
      <c r="N1333" s="329"/>
    </row>
    <row r="1334" spans="1:14" ht="11.25" customHeight="1">
      <c r="A1334" s="171"/>
      <c r="B1334" s="81"/>
      <c r="C1334" s="81"/>
      <c r="D1334" s="428"/>
      <c r="E1334" s="135">
        <v>48.4</v>
      </c>
      <c r="F1334" s="206">
        <v>2</v>
      </c>
      <c r="G1334" s="480"/>
      <c r="H1334" s="365"/>
      <c r="I1334" s="329"/>
      <c r="J1334" s="329"/>
      <c r="K1334" s="329"/>
      <c r="L1334" s="365"/>
      <c r="M1334" s="329"/>
      <c r="N1334" s="329"/>
    </row>
    <row r="1335" spans="1:14" ht="10.5" customHeight="1">
      <c r="A1335" s="171"/>
      <c r="B1335" s="81"/>
      <c r="C1335" s="81"/>
      <c r="D1335" s="428"/>
      <c r="E1335" s="135">
        <v>209.3</v>
      </c>
      <c r="F1335" s="206">
        <v>3</v>
      </c>
      <c r="G1335" s="480"/>
      <c r="H1335" s="365"/>
      <c r="I1335" s="329"/>
      <c r="J1335" s="329"/>
      <c r="K1335" s="329"/>
      <c r="L1335" s="365"/>
      <c r="M1335" s="329"/>
      <c r="N1335" s="329"/>
    </row>
    <row r="1336" spans="1:14" ht="11.25" customHeight="1">
      <c r="A1336" s="171"/>
      <c r="B1336" s="81"/>
      <c r="C1336" s="81"/>
      <c r="D1336" s="428"/>
      <c r="E1336" s="135">
        <f>E1333+E1334+E1335</f>
        <v>7540</v>
      </c>
      <c r="F1336" s="206">
        <v>5</v>
      </c>
      <c r="G1336" s="480"/>
      <c r="H1336" s="365"/>
      <c r="I1336" s="329"/>
      <c r="J1336" s="329"/>
      <c r="K1336" s="329"/>
      <c r="L1336" s="365"/>
      <c r="M1336" s="329"/>
      <c r="N1336" s="329"/>
    </row>
    <row r="1337" spans="1:14" ht="12" customHeight="1">
      <c r="A1337" s="128"/>
      <c r="B1337" s="81">
        <v>8</v>
      </c>
      <c r="C1337" s="74"/>
      <c r="D1337" s="301">
        <v>2015</v>
      </c>
      <c r="E1337" s="135">
        <v>7282.3</v>
      </c>
      <c r="F1337" s="206">
        <v>1</v>
      </c>
      <c r="G1337" s="480">
        <v>0.39</v>
      </c>
      <c r="H1337" s="337">
        <v>551.8</v>
      </c>
      <c r="I1337" s="329"/>
      <c r="J1337" s="329"/>
      <c r="K1337" s="329"/>
      <c r="L1337" s="329">
        <v>0.776</v>
      </c>
      <c r="M1337" s="467"/>
      <c r="N1337" s="340"/>
    </row>
    <row r="1338" spans="1:14" ht="10.5" customHeight="1">
      <c r="A1338" s="128"/>
      <c r="B1338" s="34"/>
      <c r="C1338" s="74"/>
      <c r="D1338" s="301"/>
      <c r="E1338" s="135">
        <v>48.4</v>
      </c>
      <c r="F1338" s="206">
        <v>2</v>
      </c>
      <c r="G1338" s="480"/>
      <c r="H1338" s="365"/>
      <c r="I1338" s="329"/>
      <c r="J1338" s="329"/>
      <c r="K1338" s="329"/>
      <c r="L1338" s="365"/>
      <c r="M1338" s="467"/>
      <c r="N1338" s="340"/>
    </row>
    <row r="1339" spans="1:14" ht="11.25" customHeight="1">
      <c r="A1339" s="128"/>
      <c r="B1339" s="34"/>
      <c r="C1339" s="74"/>
      <c r="D1339" s="301"/>
      <c r="E1339" s="135">
        <v>209.3</v>
      </c>
      <c r="F1339" s="206">
        <v>3</v>
      </c>
      <c r="G1339" s="480"/>
      <c r="H1339" s="365"/>
      <c r="I1339" s="329"/>
      <c r="J1339" s="329"/>
      <c r="K1339" s="329"/>
      <c r="L1339" s="365"/>
      <c r="M1339" s="467"/>
      <c r="N1339" s="340"/>
    </row>
    <row r="1340" spans="1:14" ht="11.25" customHeight="1">
      <c r="A1340" s="130"/>
      <c r="B1340" s="37"/>
      <c r="C1340" s="75"/>
      <c r="D1340" s="301"/>
      <c r="E1340" s="135">
        <f>E1337+E1338+E1339</f>
        <v>7540</v>
      </c>
      <c r="F1340" s="206">
        <v>5</v>
      </c>
      <c r="G1340" s="480"/>
      <c r="H1340" s="365"/>
      <c r="I1340" s="329"/>
      <c r="J1340" s="329"/>
      <c r="K1340" s="329"/>
      <c r="L1340" s="365"/>
      <c r="M1340" s="467"/>
      <c r="N1340" s="340"/>
    </row>
    <row r="1341" spans="1:14" ht="12" customHeight="1">
      <c r="A1341" s="427">
        <v>134</v>
      </c>
      <c r="B1341" s="397" t="s">
        <v>240</v>
      </c>
      <c r="C1341" s="407" t="s">
        <v>20</v>
      </c>
      <c r="D1341" s="589">
        <v>2013</v>
      </c>
      <c r="E1341" s="153">
        <v>1960</v>
      </c>
      <c r="F1341" s="125">
        <v>1</v>
      </c>
      <c r="G1341" s="337">
        <v>0.04</v>
      </c>
      <c r="H1341" s="337">
        <v>70</v>
      </c>
      <c r="I1341" s="428"/>
      <c r="J1341" s="428"/>
      <c r="K1341" s="479">
        <v>0.1</v>
      </c>
      <c r="L1341" s="428"/>
      <c r="M1341" s="469"/>
      <c r="N1341" s="478"/>
    </row>
    <row r="1342" spans="1:14" ht="12.75" customHeight="1">
      <c r="A1342" s="427"/>
      <c r="B1342" s="390"/>
      <c r="C1342" s="331"/>
      <c r="D1342" s="589"/>
      <c r="E1342" s="153">
        <v>980</v>
      </c>
      <c r="F1342" s="125">
        <v>3</v>
      </c>
      <c r="G1342" s="337"/>
      <c r="H1342" s="337"/>
      <c r="I1342" s="428"/>
      <c r="J1342" s="428"/>
      <c r="K1342" s="479"/>
      <c r="L1342" s="428"/>
      <c r="M1342" s="469"/>
      <c r="N1342" s="478"/>
    </row>
    <row r="1343" spans="1:14" ht="11.25" customHeight="1">
      <c r="A1343" s="427"/>
      <c r="B1343" s="390"/>
      <c r="C1343" s="331"/>
      <c r="D1343" s="589"/>
      <c r="E1343" s="153">
        <v>980</v>
      </c>
      <c r="F1343" s="125">
        <v>4</v>
      </c>
      <c r="G1343" s="337"/>
      <c r="H1343" s="337"/>
      <c r="I1343" s="428"/>
      <c r="J1343" s="428"/>
      <c r="K1343" s="479"/>
      <c r="L1343" s="428"/>
      <c r="M1343" s="469"/>
      <c r="N1343" s="478"/>
    </row>
    <row r="1344" spans="1:14" ht="11.25" customHeight="1">
      <c r="A1344" s="427"/>
      <c r="B1344" s="390"/>
      <c r="C1344" s="339"/>
      <c r="D1344" s="589"/>
      <c r="E1344" s="153">
        <f>E1341+E1342+E1343</f>
        <v>3920</v>
      </c>
      <c r="F1344" s="125">
        <v>5</v>
      </c>
      <c r="G1344" s="337"/>
      <c r="H1344" s="337"/>
      <c r="I1344" s="428"/>
      <c r="J1344" s="428"/>
      <c r="K1344" s="479"/>
      <c r="L1344" s="428"/>
      <c r="M1344" s="469"/>
      <c r="N1344" s="478"/>
    </row>
    <row r="1345" spans="1:14" ht="12.75" customHeight="1">
      <c r="A1345" s="401">
        <v>135</v>
      </c>
      <c r="B1345" s="390" t="s">
        <v>475</v>
      </c>
      <c r="C1345" s="407" t="s">
        <v>21</v>
      </c>
      <c r="D1345" s="428">
        <v>2012</v>
      </c>
      <c r="E1345" s="153">
        <v>130</v>
      </c>
      <c r="F1345" s="125">
        <v>2</v>
      </c>
      <c r="G1345" s="337">
        <v>0.04</v>
      </c>
      <c r="H1345" s="337">
        <v>70</v>
      </c>
      <c r="I1345" s="428"/>
      <c r="J1345" s="428"/>
      <c r="K1345" s="329">
        <v>0.047</v>
      </c>
      <c r="L1345" s="428"/>
      <c r="M1345" s="469"/>
      <c r="N1345" s="478"/>
    </row>
    <row r="1346" spans="1:14" ht="12.75" customHeight="1">
      <c r="A1346" s="402"/>
      <c r="B1346" s="380"/>
      <c r="C1346" s="408"/>
      <c r="D1346" s="428"/>
      <c r="E1346" s="153">
        <v>150</v>
      </c>
      <c r="F1346" s="125">
        <v>4</v>
      </c>
      <c r="G1346" s="337"/>
      <c r="H1346" s="337"/>
      <c r="I1346" s="428"/>
      <c r="J1346" s="428"/>
      <c r="K1346" s="474"/>
      <c r="L1346" s="428"/>
      <c r="M1346" s="469"/>
      <c r="N1346" s="478"/>
    </row>
    <row r="1347" spans="1:14" ht="12.75" customHeight="1">
      <c r="A1347" s="360"/>
      <c r="B1347" s="380"/>
      <c r="C1347" s="409"/>
      <c r="D1347" s="428"/>
      <c r="E1347" s="153">
        <f>E1345+E1346</f>
        <v>280</v>
      </c>
      <c r="F1347" s="125">
        <v>5</v>
      </c>
      <c r="G1347" s="337"/>
      <c r="H1347" s="337"/>
      <c r="I1347" s="428"/>
      <c r="J1347" s="428"/>
      <c r="K1347" s="474"/>
      <c r="L1347" s="428"/>
      <c r="M1347" s="469"/>
      <c r="N1347" s="478"/>
    </row>
    <row r="1348" spans="1:14" ht="15.75" customHeight="1">
      <c r="A1348" s="417">
        <v>136</v>
      </c>
      <c r="B1348" s="390" t="s">
        <v>241</v>
      </c>
      <c r="C1348" s="407" t="s">
        <v>242</v>
      </c>
      <c r="D1348" s="417">
        <v>2013</v>
      </c>
      <c r="E1348" s="153">
        <v>280</v>
      </c>
      <c r="F1348" s="125">
        <v>1</v>
      </c>
      <c r="G1348" s="337">
        <f>M1348*0.143</f>
        <v>0.41469999999999996</v>
      </c>
      <c r="H1348" s="337">
        <v>250</v>
      </c>
      <c r="I1348" s="428"/>
      <c r="J1348" s="428"/>
      <c r="K1348" s="428"/>
      <c r="L1348" s="428"/>
      <c r="M1348" s="329">
        <v>2.9</v>
      </c>
      <c r="N1348" s="428"/>
    </row>
    <row r="1349" spans="1:14" ht="14.25" customHeight="1">
      <c r="A1349" s="417"/>
      <c r="B1349" s="390"/>
      <c r="C1349" s="331"/>
      <c r="D1349" s="417"/>
      <c r="E1349" s="6">
        <v>300</v>
      </c>
      <c r="F1349" s="4">
        <v>2</v>
      </c>
      <c r="G1349" s="438"/>
      <c r="H1349" s="438"/>
      <c r="I1349" s="345"/>
      <c r="J1349" s="345"/>
      <c r="K1349" s="345"/>
      <c r="L1349" s="365"/>
      <c r="M1349" s="474"/>
      <c r="N1349" s="345"/>
    </row>
    <row r="1350" spans="1:14" ht="15.75" customHeight="1">
      <c r="A1350" s="417"/>
      <c r="B1350" s="390"/>
      <c r="C1350" s="331"/>
      <c r="D1350" s="417"/>
      <c r="E1350" s="6">
        <f>E1348+E1349</f>
        <v>580</v>
      </c>
      <c r="F1350" s="4">
        <v>5</v>
      </c>
      <c r="G1350" s="438"/>
      <c r="H1350" s="438"/>
      <c r="I1350" s="345"/>
      <c r="J1350" s="345"/>
      <c r="K1350" s="345"/>
      <c r="L1350" s="365"/>
      <c r="M1350" s="474"/>
      <c r="N1350" s="345"/>
    </row>
    <row r="1351" spans="1:14" ht="12" customHeight="1">
      <c r="A1351" s="401">
        <v>137</v>
      </c>
      <c r="B1351" s="382" t="s">
        <v>243</v>
      </c>
      <c r="C1351" s="407" t="s">
        <v>245</v>
      </c>
      <c r="D1351" s="476" t="s">
        <v>158</v>
      </c>
      <c r="E1351" s="153">
        <f>E1355+E1359+E1363+E1367+E1371</f>
        <v>3218585</v>
      </c>
      <c r="F1351" s="125">
        <v>1</v>
      </c>
      <c r="G1351" s="337">
        <f>SUM(G1355:G1374)</f>
        <v>2.56</v>
      </c>
      <c r="H1351" s="337">
        <f>SUM(H1355:H1374)</f>
        <v>5346.500000000001</v>
      </c>
      <c r="I1351" s="329"/>
      <c r="J1351" s="329"/>
      <c r="K1351" s="329"/>
      <c r="L1351" s="329">
        <f>SUM(L1355:L1374)</f>
        <v>7.291</v>
      </c>
      <c r="M1351" s="329"/>
      <c r="N1351" s="329"/>
    </row>
    <row r="1352" spans="1:14" ht="11.25" customHeight="1">
      <c r="A1352" s="394"/>
      <c r="B1352" s="382"/>
      <c r="C1352" s="408"/>
      <c r="D1352" s="476"/>
      <c r="E1352" s="153">
        <f>E1356+E1360+E1364+E1368+E1372</f>
        <v>280000</v>
      </c>
      <c r="F1352" s="125">
        <v>2</v>
      </c>
      <c r="G1352" s="337"/>
      <c r="H1352" s="337"/>
      <c r="I1352" s="329"/>
      <c r="J1352" s="329"/>
      <c r="K1352" s="329"/>
      <c r="L1352" s="329"/>
      <c r="M1352" s="329"/>
      <c r="N1352" s="329"/>
    </row>
    <row r="1353" spans="1:14" ht="11.25" customHeight="1">
      <c r="A1353" s="394"/>
      <c r="B1353" s="382"/>
      <c r="C1353" s="408"/>
      <c r="D1353" s="477"/>
      <c r="E1353" s="6">
        <f>E1357+E1361+E1365+E1369+E1373</f>
        <v>41000</v>
      </c>
      <c r="F1353" s="4">
        <v>3</v>
      </c>
      <c r="G1353" s="337"/>
      <c r="H1353" s="337"/>
      <c r="I1353" s="329"/>
      <c r="J1353" s="329"/>
      <c r="K1353" s="329"/>
      <c r="L1353" s="329"/>
      <c r="M1353" s="329"/>
      <c r="N1353" s="329"/>
    </row>
    <row r="1354" spans="1:14" ht="11.25" customHeight="1">
      <c r="A1354" s="394"/>
      <c r="B1354" s="372"/>
      <c r="C1354" s="408"/>
      <c r="D1354" s="477"/>
      <c r="E1354" s="6">
        <f>E1351+E1352+E1353</f>
        <v>3539585</v>
      </c>
      <c r="F1354" s="4">
        <v>5</v>
      </c>
      <c r="G1354" s="337"/>
      <c r="H1354" s="337"/>
      <c r="I1354" s="329"/>
      <c r="J1354" s="329"/>
      <c r="K1354" s="329"/>
      <c r="L1354" s="329"/>
      <c r="M1354" s="329"/>
      <c r="N1354" s="329"/>
    </row>
    <row r="1355" spans="1:14" ht="11.25" customHeight="1">
      <c r="A1355" s="394"/>
      <c r="B1355" s="18" t="s">
        <v>244</v>
      </c>
      <c r="C1355" s="311"/>
      <c r="D1355" s="475">
        <v>2011</v>
      </c>
      <c r="E1355" s="6">
        <v>643717</v>
      </c>
      <c r="F1355" s="4">
        <v>1</v>
      </c>
      <c r="G1355" s="337">
        <v>0.54</v>
      </c>
      <c r="H1355" s="337">
        <v>1344.26</v>
      </c>
      <c r="I1355" s="329"/>
      <c r="J1355" s="329"/>
      <c r="K1355" s="329"/>
      <c r="L1355" s="329">
        <v>1.54</v>
      </c>
      <c r="M1355" s="329"/>
      <c r="N1355" s="329"/>
    </row>
    <row r="1356" spans="1:14" ht="11.25" customHeight="1">
      <c r="A1356" s="394"/>
      <c r="B1356" s="81"/>
      <c r="C1356" s="311"/>
      <c r="D1356" s="475"/>
      <c r="E1356" s="6">
        <v>56000</v>
      </c>
      <c r="F1356" s="4">
        <v>2</v>
      </c>
      <c r="G1356" s="337"/>
      <c r="H1356" s="337"/>
      <c r="I1356" s="329"/>
      <c r="J1356" s="329"/>
      <c r="K1356" s="329"/>
      <c r="L1356" s="329"/>
      <c r="M1356" s="329"/>
      <c r="N1356" s="329"/>
    </row>
    <row r="1357" spans="1:14" ht="12" customHeight="1">
      <c r="A1357" s="394"/>
      <c r="B1357" s="81"/>
      <c r="C1357" s="311"/>
      <c r="D1357" s="475"/>
      <c r="E1357" s="6">
        <v>7800</v>
      </c>
      <c r="F1357" s="4">
        <v>3</v>
      </c>
      <c r="G1357" s="337"/>
      <c r="H1357" s="337"/>
      <c r="I1357" s="329"/>
      <c r="J1357" s="329"/>
      <c r="K1357" s="329"/>
      <c r="L1357" s="329"/>
      <c r="M1357" s="329"/>
      <c r="N1357" s="329"/>
    </row>
    <row r="1358" spans="1:14" ht="11.25" customHeight="1">
      <c r="A1358" s="394"/>
      <c r="B1358" s="81"/>
      <c r="C1358" s="311"/>
      <c r="D1358" s="475"/>
      <c r="E1358" s="6">
        <f>E1355+E1356+E1357</f>
        <v>707517</v>
      </c>
      <c r="F1358" s="4">
        <v>5</v>
      </c>
      <c r="G1358" s="337"/>
      <c r="H1358" s="337"/>
      <c r="I1358" s="329"/>
      <c r="J1358" s="329"/>
      <c r="K1358" s="329"/>
      <c r="L1358" s="329"/>
      <c r="M1358" s="329"/>
      <c r="N1358" s="329"/>
    </row>
    <row r="1359" spans="1:14" ht="11.25" customHeight="1">
      <c r="A1359" s="394"/>
      <c r="B1359" s="81" t="s">
        <v>244</v>
      </c>
      <c r="C1359" s="311"/>
      <c r="D1359" s="475">
        <v>2012</v>
      </c>
      <c r="E1359" s="6">
        <v>643717</v>
      </c>
      <c r="F1359" s="4">
        <v>1</v>
      </c>
      <c r="G1359" s="337">
        <v>0.52</v>
      </c>
      <c r="H1359" s="337">
        <v>1037.46</v>
      </c>
      <c r="I1359" s="329"/>
      <c r="J1359" s="329"/>
      <c r="K1359" s="329"/>
      <c r="L1359" s="329">
        <v>1.491</v>
      </c>
      <c r="M1359" s="329"/>
      <c r="N1359" s="329"/>
    </row>
    <row r="1360" spans="1:14" ht="11.25" customHeight="1">
      <c r="A1360" s="394"/>
      <c r="B1360" s="81"/>
      <c r="C1360" s="311"/>
      <c r="D1360" s="475"/>
      <c r="E1360" s="6">
        <v>56000</v>
      </c>
      <c r="F1360" s="4">
        <v>2</v>
      </c>
      <c r="G1360" s="337"/>
      <c r="H1360" s="337"/>
      <c r="I1360" s="329"/>
      <c r="J1360" s="329"/>
      <c r="K1360" s="329"/>
      <c r="L1360" s="329"/>
      <c r="M1360" s="329"/>
      <c r="N1360" s="329"/>
    </row>
    <row r="1361" spans="1:14" ht="11.25" customHeight="1">
      <c r="A1361" s="394"/>
      <c r="B1361" s="81"/>
      <c r="C1361" s="311"/>
      <c r="D1361" s="475"/>
      <c r="E1361" s="6">
        <v>8300</v>
      </c>
      <c r="F1361" s="4">
        <v>3</v>
      </c>
      <c r="G1361" s="337"/>
      <c r="H1361" s="337"/>
      <c r="I1361" s="329"/>
      <c r="J1361" s="329"/>
      <c r="K1361" s="329"/>
      <c r="L1361" s="329"/>
      <c r="M1361" s="329"/>
      <c r="N1361" s="329"/>
    </row>
    <row r="1362" spans="1:14" ht="11.25" customHeight="1">
      <c r="A1362" s="394"/>
      <c r="B1362" s="81"/>
      <c r="C1362" s="311"/>
      <c r="D1362" s="475"/>
      <c r="E1362" s="6">
        <f>E1359+E1360+E1361</f>
        <v>708017</v>
      </c>
      <c r="F1362" s="4">
        <v>5</v>
      </c>
      <c r="G1362" s="337"/>
      <c r="H1362" s="337"/>
      <c r="I1362" s="329"/>
      <c r="J1362" s="329"/>
      <c r="K1362" s="329"/>
      <c r="L1362" s="329"/>
      <c r="M1362" s="329"/>
      <c r="N1362" s="329"/>
    </row>
    <row r="1363" spans="1:14" ht="12" customHeight="1">
      <c r="A1363" s="394"/>
      <c r="B1363" s="81" t="s">
        <v>244</v>
      </c>
      <c r="C1363" s="147"/>
      <c r="D1363" s="475">
        <v>2013</v>
      </c>
      <c r="E1363" s="6">
        <v>643717</v>
      </c>
      <c r="F1363" s="4">
        <v>1</v>
      </c>
      <c r="G1363" s="337">
        <v>0.5</v>
      </c>
      <c r="H1363" s="337">
        <v>988.26</v>
      </c>
      <c r="I1363" s="329"/>
      <c r="J1363" s="329"/>
      <c r="K1363" s="329"/>
      <c r="L1363" s="329">
        <v>1.42</v>
      </c>
      <c r="M1363" s="329"/>
      <c r="N1363" s="329"/>
    </row>
    <row r="1364" spans="1:14" ht="11.25" customHeight="1">
      <c r="A1364" s="394"/>
      <c r="B1364" s="81"/>
      <c r="C1364" s="147"/>
      <c r="D1364" s="475"/>
      <c r="E1364" s="6">
        <v>56000</v>
      </c>
      <c r="F1364" s="4">
        <v>2</v>
      </c>
      <c r="G1364" s="337"/>
      <c r="H1364" s="337"/>
      <c r="I1364" s="329"/>
      <c r="J1364" s="329"/>
      <c r="K1364" s="329"/>
      <c r="L1364" s="329"/>
      <c r="M1364" s="329"/>
      <c r="N1364" s="329"/>
    </row>
    <row r="1365" spans="1:14" ht="11.25" customHeight="1">
      <c r="A1365" s="394"/>
      <c r="B1365" s="81"/>
      <c r="C1365" s="147"/>
      <c r="D1365" s="475"/>
      <c r="E1365" s="6">
        <v>8300</v>
      </c>
      <c r="F1365" s="4">
        <v>3</v>
      </c>
      <c r="G1365" s="337"/>
      <c r="H1365" s="337"/>
      <c r="I1365" s="329"/>
      <c r="J1365" s="329"/>
      <c r="K1365" s="329"/>
      <c r="L1365" s="329"/>
      <c r="M1365" s="329"/>
      <c r="N1365" s="329"/>
    </row>
    <row r="1366" spans="1:14" ht="11.25" customHeight="1">
      <c r="A1366" s="394"/>
      <c r="B1366" s="81"/>
      <c r="C1366" s="147"/>
      <c r="D1366" s="475"/>
      <c r="E1366" s="6">
        <f>E1363+E1364+E1365</f>
        <v>708017</v>
      </c>
      <c r="F1366" s="4">
        <v>5</v>
      </c>
      <c r="G1366" s="337"/>
      <c r="H1366" s="337"/>
      <c r="I1366" s="329"/>
      <c r="J1366" s="329"/>
      <c r="K1366" s="329"/>
      <c r="L1366" s="329"/>
      <c r="M1366" s="329"/>
      <c r="N1366" s="329"/>
    </row>
    <row r="1367" spans="1:14" ht="12" customHeight="1">
      <c r="A1367" s="394"/>
      <c r="B1367" s="81" t="s">
        <v>244</v>
      </c>
      <c r="C1367" s="147"/>
      <c r="D1367" s="475">
        <v>2014</v>
      </c>
      <c r="E1367" s="6">
        <v>643717</v>
      </c>
      <c r="F1367" s="4">
        <v>1</v>
      </c>
      <c r="G1367" s="337">
        <v>0.5</v>
      </c>
      <c r="H1367" s="337">
        <v>988.26</v>
      </c>
      <c r="I1367" s="329"/>
      <c r="J1367" s="329"/>
      <c r="K1367" s="329"/>
      <c r="L1367" s="329">
        <v>1.42</v>
      </c>
      <c r="M1367" s="329"/>
      <c r="N1367" s="329"/>
    </row>
    <row r="1368" spans="1:14" ht="11.25" customHeight="1">
      <c r="A1368" s="394"/>
      <c r="B1368" s="81"/>
      <c r="C1368" s="147"/>
      <c r="D1368" s="475"/>
      <c r="E1368" s="6">
        <v>56000</v>
      </c>
      <c r="F1368" s="4">
        <v>2</v>
      </c>
      <c r="G1368" s="337"/>
      <c r="H1368" s="337"/>
      <c r="I1368" s="329"/>
      <c r="J1368" s="329"/>
      <c r="K1368" s="329"/>
      <c r="L1368" s="329"/>
      <c r="M1368" s="329"/>
      <c r="N1368" s="329"/>
    </row>
    <row r="1369" spans="1:14" ht="11.25" customHeight="1">
      <c r="A1369" s="394"/>
      <c r="B1369" s="81"/>
      <c r="C1369" s="147"/>
      <c r="D1369" s="475"/>
      <c r="E1369" s="6">
        <v>8300</v>
      </c>
      <c r="F1369" s="4">
        <v>3</v>
      </c>
      <c r="G1369" s="337"/>
      <c r="H1369" s="337"/>
      <c r="I1369" s="329"/>
      <c r="J1369" s="329"/>
      <c r="K1369" s="329"/>
      <c r="L1369" s="329"/>
      <c r="M1369" s="329"/>
      <c r="N1369" s="329"/>
    </row>
    <row r="1370" spans="1:14" ht="11.25" customHeight="1">
      <c r="A1370" s="394"/>
      <c r="B1370" s="81"/>
      <c r="C1370" s="147"/>
      <c r="D1370" s="475"/>
      <c r="E1370" s="6">
        <f>E1367+E1368+E1369</f>
        <v>708017</v>
      </c>
      <c r="F1370" s="4">
        <v>5</v>
      </c>
      <c r="G1370" s="337"/>
      <c r="H1370" s="337"/>
      <c r="I1370" s="329"/>
      <c r="J1370" s="329"/>
      <c r="K1370" s="329"/>
      <c r="L1370" s="329"/>
      <c r="M1370" s="329"/>
      <c r="N1370" s="329"/>
    </row>
    <row r="1371" spans="1:14" ht="11.25" customHeight="1">
      <c r="A1371" s="394"/>
      <c r="B1371" s="81" t="s">
        <v>244</v>
      </c>
      <c r="C1371" s="147"/>
      <c r="D1371" s="436">
        <v>2015</v>
      </c>
      <c r="E1371" s="6">
        <v>643717</v>
      </c>
      <c r="F1371" s="4">
        <v>1</v>
      </c>
      <c r="G1371" s="337">
        <v>0.5</v>
      </c>
      <c r="H1371" s="337">
        <v>988.26</v>
      </c>
      <c r="I1371" s="329"/>
      <c r="J1371" s="329"/>
      <c r="K1371" s="329"/>
      <c r="L1371" s="329">
        <v>1.42</v>
      </c>
      <c r="M1371" s="467"/>
      <c r="N1371" s="340"/>
    </row>
    <row r="1372" spans="1:14" ht="10.5" customHeight="1">
      <c r="A1372" s="394"/>
      <c r="B1372" s="81"/>
      <c r="C1372" s="147"/>
      <c r="D1372" s="436"/>
      <c r="E1372" s="6">
        <v>56000</v>
      </c>
      <c r="F1372" s="4">
        <v>2</v>
      </c>
      <c r="G1372" s="337"/>
      <c r="H1372" s="337"/>
      <c r="I1372" s="329"/>
      <c r="J1372" s="329"/>
      <c r="K1372" s="329"/>
      <c r="L1372" s="329"/>
      <c r="M1372" s="467"/>
      <c r="N1372" s="340"/>
    </row>
    <row r="1373" spans="1:14" ht="10.5" customHeight="1">
      <c r="A1373" s="394"/>
      <c r="B1373" s="34"/>
      <c r="C1373" s="147"/>
      <c r="D1373" s="436"/>
      <c r="E1373" s="6">
        <v>8300</v>
      </c>
      <c r="F1373" s="4">
        <v>3</v>
      </c>
      <c r="G1373" s="337"/>
      <c r="H1373" s="337"/>
      <c r="I1373" s="329"/>
      <c r="J1373" s="329"/>
      <c r="K1373" s="329"/>
      <c r="L1373" s="329"/>
      <c r="M1373" s="467"/>
      <c r="N1373" s="340"/>
    </row>
    <row r="1374" spans="1:14" ht="10.5" customHeight="1">
      <c r="A1374" s="413"/>
      <c r="B1374" s="37"/>
      <c r="C1374" s="149"/>
      <c r="D1374" s="436"/>
      <c r="E1374" s="6">
        <f>E1371+E1372+E1373</f>
        <v>708017</v>
      </c>
      <c r="F1374" s="4">
        <v>5</v>
      </c>
      <c r="G1374" s="337"/>
      <c r="H1374" s="337"/>
      <c r="I1374" s="329"/>
      <c r="J1374" s="329"/>
      <c r="K1374" s="329"/>
      <c r="L1374" s="329"/>
      <c r="M1374" s="467"/>
      <c r="N1374" s="340"/>
    </row>
    <row r="1375" spans="1:14" ht="11.25" customHeight="1">
      <c r="A1375" s="411">
        <v>138</v>
      </c>
      <c r="B1375" s="284" t="s">
        <v>246</v>
      </c>
      <c r="C1375" s="322" t="s">
        <v>247</v>
      </c>
      <c r="D1375" s="428">
        <v>2011</v>
      </c>
      <c r="E1375" s="153">
        <v>603.92</v>
      </c>
      <c r="F1375" s="4">
        <v>1</v>
      </c>
      <c r="G1375" s="337">
        <v>0.01</v>
      </c>
      <c r="H1375" s="337">
        <v>21.06</v>
      </c>
      <c r="I1375" s="428"/>
      <c r="J1375" s="428"/>
      <c r="K1375" s="428"/>
      <c r="L1375" s="329">
        <v>0.03</v>
      </c>
      <c r="M1375" s="467"/>
      <c r="N1375" s="340"/>
    </row>
    <row r="1376" spans="1:14" ht="11.25" customHeight="1">
      <c r="A1376" s="412"/>
      <c r="B1376" s="465"/>
      <c r="C1376" s="351"/>
      <c r="D1376" s="428"/>
      <c r="E1376" s="153">
        <v>125.9</v>
      </c>
      <c r="F1376" s="4">
        <v>2</v>
      </c>
      <c r="G1376" s="337"/>
      <c r="H1376" s="438"/>
      <c r="I1376" s="428"/>
      <c r="J1376" s="428"/>
      <c r="K1376" s="428"/>
      <c r="L1376" s="474"/>
      <c r="M1376" s="467"/>
      <c r="N1376" s="340"/>
    </row>
    <row r="1377" spans="1:14" ht="11.25" customHeight="1">
      <c r="A1377" s="412"/>
      <c r="B1377" s="465"/>
      <c r="C1377" s="351"/>
      <c r="D1377" s="428"/>
      <c r="E1377" s="153">
        <v>24.1</v>
      </c>
      <c r="F1377" s="4">
        <v>3</v>
      </c>
      <c r="G1377" s="337"/>
      <c r="H1377" s="438"/>
      <c r="I1377" s="428"/>
      <c r="J1377" s="428"/>
      <c r="K1377" s="428"/>
      <c r="L1377" s="474"/>
      <c r="M1377" s="467"/>
      <c r="N1377" s="340"/>
    </row>
    <row r="1378" spans="1:14" ht="11.25" customHeight="1">
      <c r="A1378" s="419"/>
      <c r="B1378" s="465"/>
      <c r="C1378" s="351"/>
      <c r="D1378" s="428"/>
      <c r="E1378" s="153">
        <f>E1375+E1376+E1377</f>
        <v>753.92</v>
      </c>
      <c r="F1378" s="125">
        <v>5</v>
      </c>
      <c r="G1378" s="337"/>
      <c r="H1378" s="438"/>
      <c r="I1378" s="428"/>
      <c r="J1378" s="428"/>
      <c r="K1378" s="428"/>
      <c r="L1378" s="474"/>
      <c r="M1378" s="467"/>
      <c r="N1378" s="340"/>
    </row>
    <row r="1379" spans="1:14" ht="10.5" customHeight="1">
      <c r="A1379" s="401">
        <v>139</v>
      </c>
      <c r="B1379" s="395" t="s">
        <v>248</v>
      </c>
      <c r="C1379" s="407" t="s">
        <v>66</v>
      </c>
      <c r="D1379" s="322" t="s">
        <v>158</v>
      </c>
      <c r="E1379" s="153">
        <f>E1384+E1389+E1394+E1399+E1404</f>
        <v>5728.5</v>
      </c>
      <c r="F1379" s="125">
        <v>1</v>
      </c>
      <c r="G1379" s="337">
        <f>SUM(G1384:G1408)</f>
        <v>5.0200000000000005</v>
      </c>
      <c r="H1379" s="337">
        <f>SUM(H1384:H1408)</f>
        <v>7690.88</v>
      </c>
      <c r="I1379" s="329"/>
      <c r="J1379" s="329"/>
      <c r="K1379" s="329"/>
      <c r="L1379" s="329">
        <f>SUM(L1384:L1408)</f>
        <v>14.319999999999999</v>
      </c>
      <c r="M1379" s="329"/>
      <c r="N1379" s="329"/>
    </row>
    <row r="1380" spans="1:14" ht="10.5" customHeight="1">
      <c r="A1380" s="402"/>
      <c r="B1380" s="396"/>
      <c r="C1380" s="331"/>
      <c r="D1380" s="322"/>
      <c r="E1380" s="153">
        <f>E1385+E1390+E1395+E1400+E1405</f>
        <v>989.8</v>
      </c>
      <c r="F1380" s="125">
        <v>2</v>
      </c>
      <c r="G1380" s="337"/>
      <c r="H1380" s="337"/>
      <c r="I1380" s="329"/>
      <c r="J1380" s="329"/>
      <c r="K1380" s="329"/>
      <c r="L1380" s="329"/>
      <c r="M1380" s="329"/>
      <c r="N1380" s="329"/>
    </row>
    <row r="1381" spans="1:14" ht="10.5" customHeight="1">
      <c r="A1381" s="402"/>
      <c r="B1381" s="396"/>
      <c r="C1381" s="331"/>
      <c r="D1381" s="322"/>
      <c r="E1381" s="153">
        <f>E1386+E1391+E1396+E1401+E1406</f>
        <v>1459.1999999999998</v>
      </c>
      <c r="F1381" s="125">
        <v>3</v>
      </c>
      <c r="G1381" s="337"/>
      <c r="H1381" s="337"/>
      <c r="I1381" s="329"/>
      <c r="J1381" s="329"/>
      <c r="K1381" s="329"/>
      <c r="L1381" s="329"/>
      <c r="M1381" s="329"/>
      <c r="N1381" s="329"/>
    </row>
    <row r="1382" spans="1:14" ht="10.5" customHeight="1">
      <c r="A1382" s="402"/>
      <c r="B1382" s="396"/>
      <c r="C1382" s="331"/>
      <c r="D1382" s="322"/>
      <c r="E1382" s="153">
        <f>E1387+E1392+E1397+E1402+E1407</f>
        <v>10956.5</v>
      </c>
      <c r="F1382" s="125">
        <v>4</v>
      </c>
      <c r="G1382" s="337"/>
      <c r="H1382" s="337"/>
      <c r="I1382" s="329"/>
      <c r="J1382" s="329"/>
      <c r="K1382" s="329"/>
      <c r="L1382" s="329"/>
      <c r="M1382" s="329"/>
      <c r="N1382" s="329"/>
    </row>
    <row r="1383" spans="1:14" ht="10.5" customHeight="1">
      <c r="A1383" s="402"/>
      <c r="B1383" s="396"/>
      <c r="C1383" s="331"/>
      <c r="D1383" s="322"/>
      <c r="E1383" s="153">
        <f>E1379+E1380+E1381+E1382</f>
        <v>19134</v>
      </c>
      <c r="F1383" s="125">
        <v>5</v>
      </c>
      <c r="G1383" s="337"/>
      <c r="H1383" s="337"/>
      <c r="I1383" s="329"/>
      <c r="J1383" s="329"/>
      <c r="K1383" s="329"/>
      <c r="L1383" s="329"/>
      <c r="M1383" s="329"/>
      <c r="N1383" s="329"/>
    </row>
    <row r="1384" spans="1:14" ht="10.5" customHeight="1">
      <c r="A1384" s="386"/>
      <c r="B1384" s="398"/>
      <c r="C1384" s="386"/>
      <c r="D1384" s="428">
        <v>2011</v>
      </c>
      <c r="E1384" s="153">
        <v>1530</v>
      </c>
      <c r="F1384" s="125">
        <v>1</v>
      </c>
      <c r="G1384" s="337">
        <v>1.21</v>
      </c>
      <c r="H1384" s="337">
        <v>1847.6</v>
      </c>
      <c r="I1384" s="329"/>
      <c r="J1384" s="329"/>
      <c r="K1384" s="329"/>
      <c r="L1384" s="329">
        <v>3.456</v>
      </c>
      <c r="M1384" s="329"/>
      <c r="N1384" s="329"/>
    </row>
    <row r="1385" spans="1:14" ht="10.5" customHeight="1">
      <c r="A1385" s="386"/>
      <c r="B1385" s="398"/>
      <c r="C1385" s="386"/>
      <c r="D1385" s="428"/>
      <c r="E1385" s="153">
        <v>270</v>
      </c>
      <c r="F1385" s="125">
        <v>2</v>
      </c>
      <c r="G1385" s="337"/>
      <c r="H1385" s="337"/>
      <c r="I1385" s="329"/>
      <c r="J1385" s="329"/>
      <c r="K1385" s="329"/>
      <c r="L1385" s="329"/>
      <c r="M1385" s="329"/>
      <c r="N1385" s="329"/>
    </row>
    <row r="1386" spans="1:14" ht="10.5" customHeight="1">
      <c r="A1386" s="386"/>
      <c r="B1386" s="398"/>
      <c r="C1386" s="386"/>
      <c r="D1386" s="428"/>
      <c r="E1386" s="153">
        <v>180</v>
      </c>
      <c r="F1386" s="125">
        <v>3</v>
      </c>
      <c r="G1386" s="337"/>
      <c r="H1386" s="337"/>
      <c r="I1386" s="329"/>
      <c r="J1386" s="329"/>
      <c r="K1386" s="329"/>
      <c r="L1386" s="329"/>
      <c r="M1386" s="329"/>
      <c r="N1386" s="329"/>
    </row>
    <row r="1387" spans="1:14" ht="10.5" customHeight="1">
      <c r="A1387" s="386"/>
      <c r="B1387" s="398"/>
      <c r="C1387" s="386"/>
      <c r="D1387" s="428"/>
      <c r="E1387" s="153">
        <v>2191.3</v>
      </c>
      <c r="F1387" s="125">
        <v>4</v>
      </c>
      <c r="G1387" s="337"/>
      <c r="H1387" s="337"/>
      <c r="I1387" s="329"/>
      <c r="J1387" s="329"/>
      <c r="K1387" s="329"/>
      <c r="L1387" s="329"/>
      <c r="M1387" s="329"/>
      <c r="N1387" s="329"/>
    </row>
    <row r="1388" spans="1:14" ht="10.5" customHeight="1">
      <c r="A1388" s="386"/>
      <c r="B1388" s="398"/>
      <c r="C1388" s="386"/>
      <c r="D1388" s="428"/>
      <c r="E1388" s="153">
        <f>E1384+E1386+E1387</f>
        <v>3901.3</v>
      </c>
      <c r="F1388" s="125">
        <v>5</v>
      </c>
      <c r="G1388" s="337"/>
      <c r="H1388" s="337"/>
      <c r="I1388" s="329"/>
      <c r="J1388" s="329"/>
      <c r="K1388" s="329"/>
      <c r="L1388" s="329"/>
      <c r="M1388" s="329"/>
      <c r="N1388" s="329"/>
    </row>
    <row r="1389" spans="1:14" ht="10.5" customHeight="1">
      <c r="A1389" s="386"/>
      <c r="B1389" s="398"/>
      <c r="C1389" s="386"/>
      <c r="D1389" s="428">
        <v>2012</v>
      </c>
      <c r="E1389" s="153">
        <v>1190</v>
      </c>
      <c r="F1389" s="125">
        <v>1</v>
      </c>
      <c r="G1389" s="337">
        <v>1.29</v>
      </c>
      <c r="H1389" s="337">
        <v>1973.9</v>
      </c>
      <c r="I1389" s="329"/>
      <c r="J1389" s="329"/>
      <c r="K1389" s="329"/>
      <c r="L1389" s="329">
        <v>3.672</v>
      </c>
      <c r="M1389" s="329"/>
      <c r="N1389" s="329"/>
    </row>
    <row r="1390" spans="1:14" ht="10.5" customHeight="1">
      <c r="A1390" s="386"/>
      <c r="B1390" s="398"/>
      <c r="C1390" s="386"/>
      <c r="D1390" s="428"/>
      <c r="E1390" s="153">
        <v>210</v>
      </c>
      <c r="F1390" s="125">
        <v>2</v>
      </c>
      <c r="G1390" s="337"/>
      <c r="H1390" s="337"/>
      <c r="I1390" s="329"/>
      <c r="J1390" s="329"/>
      <c r="K1390" s="329"/>
      <c r="L1390" s="329"/>
      <c r="M1390" s="329"/>
      <c r="N1390" s="329"/>
    </row>
    <row r="1391" spans="1:14" ht="10.5" customHeight="1">
      <c r="A1391" s="386"/>
      <c r="B1391" s="398"/>
      <c r="C1391" s="386"/>
      <c r="D1391" s="428"/>
      <c r="E1391" s="153">
        <v>720</v>
      </c>
      <c r="F1391" s="125">
        <v>3</v>
      </c>
      <c r="G1391" s="337"/>
      <c r="H1391" s="337"/>
      <c r="I1391" s="329"/>
      <c r="J1391" s="329"/>
      <c r="K1391" s="329"/>
      <c r="L1391" s="329"/>
      <c r="M1391" s="329"/>
      <c r="N1391" s="329"/>
    </row>
    <row r="1392" spans="1:14" ht="10.5" customHeight="1">
      <c r="A1392" s="386"/>
      <c r="B1392" s="398"/>
      <c r="C1392" s="386"/>
      <c r="D1392" s="428"/>
      <c r="E1392" s="153">
        <v>2191.3</v>
      </c>
      <c r="F1392" s="125">
        <v>4</v>
      </c>
      <c r="G1392" s="337"/>
      <c r="H1392" s="337"/>
      <c r="I1392" s="329"/>
      <c r="J1392" s="329"/>
      <c r="K1392" s="329"/>
      <c r="L1392" s="329"/>
      <c r="M1392" s="329"/>
      <c r="N1392" s="329"/>
    </row>
    <row r="1393" spans="1:14" ht="10.5" customHeight="1">
      <c r="A1393" s="386"/>
      <c r="B1393" s="398"/>
      <c r="C1393" s="386"/>
      <c r="D1393" s="428"/>
      <c r="E1393" s="153">
        <f>E1389+E1390+E1391+E1392</f>
        <v>4311.3</v>
      </c>
      <c r="F1393" s="125">
        <v>5</v>
      </c>
      <c r="G1393" s="337"/>
      <c r="H1393" s="337"/>
      <c r="I1393" s="329"/>
      <c r="J1393" s="329"/>
      <c r="K1393" s="329"/>
      <c r="L1393" s="329"/>
      <c r="M1393" s="329"/>
      <c r="N1393" s="329"/>
    </row>
    <row r="1394" spans="1:14" ht="10.5" customHeight="1">
      <c r="A1394" s="386"/>
      <c r="B1394" s="398"/>
      <c r="C1394" s="386"/>
      <c r="D1394" s="428">
        <v>2013</v>
      </c>
      <c r="E1394" s="153">
        <v>1429.5</v>
      </c>
      <c r="F1394" s="125">
        <v>1</v>
      </c>
      <c r="G1394" s="337">
        <v>0.12</v>
      </c>
      <c r="H1394" s="337">
        <v>208.1</v>
      </c>
      <c r="I1394" s="329"/>
      <c r="J1394" s="329"/>
      <c r="K1394" s="329"/>
      <c r="L1394" s="329">
        <v>0.35</v>
      </c>
      <c r="M1394" s="329"/>
      <c r="N1394" s="329"/>
    </row>
    <row r="1395" spans="1:14" ht="10.5" customHeight="1">
      <c r="A1395" s="386"/>
      <c r="B1395" s="398"/>
      <c r="C1395" s="386"/>
      <c r="D1395" s="418"/>
      <c r="E1395" s="153">
        <v>210</v>
      </c>
      <c r="F1395" s="125">
        <v>2</v>
      </c>
      <c r="G1395" s="365"/>
      <c r="H1395" s="365"/>
      <c r="I1395" s="365"/>
      <c r="J1395" s="365"/>
      <c r="K1395" s="365"/>
      <c r="L1395" s="365"/>
      <c r="M1395" s="365"/>
      <c r="N1395" s="365"/>
    </row>
    <row r="1396" spans="1:14" ht="11.25" customHeight="1">
      <c r="A1396" s="386"/>
      <c r="B1396" s="398"/>
      <c r="C1396" s="386"/>
      <c r="D1396" s="418"/>
      <c r="E1396" s="153">
        <v>180</v>
      </c>
      <c r="F1396" s="125">
        <v>3</v>
      </c>
      <c r="G1396" s="365"/>
      <c r="H1396" s="365"/>
      <c r="I1396" s="365"/>
      <c r="J1396" s="365"/>
      <c r="K1396" s="365"/>
      <c r="L1396" s="365"/>
      <c r="M1396" s="365"/>
      <c r="N1396" s="365"/>
    </row>
    <row r="1397" spans="1:14" ht="10.5" customHeight="1">
      <c r="A1397" s="386"/>
      <c r="B1397" s="398"/>
      <c r="C1397" s="386"/>
      <c r="D1397" s="418"/>
      <c r="E1397" s="153">
        <v>2191.3</v>
      </c>
      <c r="F1397" s="125">
        <v>4</v>
      </c>
      <c r="G1397" s="365"/>
      <c r="H1397" s="365"/>
      <c r="I1397" s="365"/>
      <c r="J1397" s="365"/>
      <c r="K1397" s="365"/>
      <c r="L1397" s="365"/>
      <c r="M1397" s="365"/>
      <c r="N1397" s="365"/>
    </row>
    <row r="1398" spans="1:14" ht="10.5" customHeight="1">
      <c r="A1398" s="386"/>
      <c r="B1398" s="398"/>
      <c r="C1398" s="386"/>
      <c r="D1398" s="418"/>
      <c r="E1398" s="153">
        <f>E1394+E1395+E1396+E1397</f>
        <v>4010.8</v>
      </c>
      <c r="F1398" s="125">
        <v>5</v>
      </c>
      <c r="G1398" s="365"/>
      <c r="H1398" s="365"/>
      <c r="I1398" s="365"/>
      <c r="J1398" s="365"/>
      <c r="K1398" s="365"/>
      <c r="L1398" s="365"/>
      <c r="M1398" s="365"/>
      <c r="N1398" s="365"/>
    </row>
    <row r="1399" spans="1:14" ht="11.25" customHeight="1">
      <c r="A1399" s="386"/>
      <c r="B1399" s="398"/>
      <c r="C1399" s="386"/>
      <c r="D1399" s="428">
        <v>2014</v>
      </c>
      <c r="E1399" s="153">
        <v>789.5</v>
      </c>
      <c r="F1399" s="125">
        <v>1</v>
      </c>
      <c r="G1399" s="337">
        <v>1.2</v>
      </c>
      <c r="H1399" s="337">
        <v>1830.64</v>
      </c>
      <c r="I1399" s="329"/>
      <c r="J1399" s="329"/>
      <c r="K1399" s="329"/>
      <c r="L1399" s="329">
        <v>3.421</v>
      </c>
      <c r="M1399" s="329"/>
      <c r="N1399" s="329"/>
    </row>
    <row r="1400" spans="1:14" ht="10.5" customHeight="1">
      <c r="A1400" s="386"/>
      <c r="B1400" s="398"/>
      <c r="C1400" s="386"/>
      <c r="D1400" s="428"/>
      <c r="E1400" s="153">
        <v>149.9</v>
      </c>
      <c r="F1400" s="125">
        <v>2</v>
      </c>
      <c r="G1400" s="337"/>
      <c r="H1400" s="337"/>
      <c r="I1400" s="329"/>
      <c r="J1400" s="329"/>
      <c r="K1400" s="329"/>
      <c r="L1400" s="329"/>
      <c r="M1400" s="329"/>
      <c r="N1400" s="329"/>
    </row>
    <row r="1401" spans="1:14" ht="10.5" customHeight="1">
      <c r="A1401" s="386"/>
      <c r="B1401" s="398"/>
      <c r="C1401" s="386"/>
      <c r="D1401" s="428"/>
      <c r="E1401" s="153">
        <v>189.6</v>
      </c>
      <c r="F1401" s="125">
        <v>3</v>
      </c>
      <c r="G1401" s="337"/>
      <c r="H1401" s="337"/>
      <c r="I1401" s="329"/>
      <c r="J1401" s="329"/>
      <c r="K1401" s="329"/>
      <c r="L1401" s="329"/>
      <c r="M1401" s="329"/>
      <c r="N1401" s="329"/>
    </row>
    <row r="1402" spans="1:14" ht="11.25" customHeight="1">
      <c r="A1402" s="386"/>
      <c r="B1402" s="398"/>
      <c r="C1402" s="386"/>
      <c r="D1402" s="428"/>
      <c r="E1402" s="153">
        <v>2191.3</v>
      </c>
      <c r="F1402" s="125">
        <v>4</v>
      </c>
      <c r="G1402" s="337"/>
      <c r="H1402" s="337"/>
      <c r="I1402" s="329"/>
      <c r="J1402" s="329"/>
      <c r="K1402" s="329"/>
      <c r="L1402" s="329"/>
      <c r="M1402" s="329"/>
      <c r="N1402" s="329"/>
    </row>
    <row r="1403" spans="1:14" ht="11.25" customHeight="1">
      <c r="A1403" s="386"/>
      <c r="B1403" s="398"/>
      <c r="C1403" s="386"/>
      <c r="D1403" s="428"/>
      <c r="E1403" s="153">
        <f>E1399+E1400+E1401+E1402</f>
        <v>3320.3</v>
      </c>
      <c r="F1403" s="125">
        <v>5</v>
      </c>
      <c r="G1403" s="337"/>
      <c r="H1403" s="337"/>
      <c r="I1403" s="329"/>
      <c r="J1403" s="329"/>
      <c r="K1403" s="329"/>
      <c r="L1403" s="329"/>
      <c r="M1403" s="329"/>
      <c r="N1403" s="329"/>
    </row>
    <row r="1404" spans="1:14" ht="11.25" customHeight="1">
      <c r="A1404" s="386"/>
      <c r="B1404" s="398"/>
      <c r="C1404" s="386"/>
      <c r="D1404" s="417">
        <v>2015</v>
      </c>
      <c r="E1404" s="153">
        <v>789.5</v>
      </c>
      <c r="F1404" s="125">
        <v>1</v>
      </c>
      <c r="G1404" s="337">
        <v>1.2</v>
      </c>
      <c r="H1404" s="337">
        <v>1830.64</v>
      </c>
      <c r="I1404" s="329"/>
      <c r="J1404" s="329"/>
      <c r="K1404" s="329"/>
      <c r="L1404" s="329">
        <v>3.421</v>
      </c>
      <c r="M1404" s="467"/>
      <c r="N1404" s="340"/>
    </row>
    <row r="1405" spans="1:14" ht="11.25" customHeight="1">
      <c r="A1405" s="386"/>
      <c r="B1405" s="398"/>
      <c r="C1405" s="386"/>
      <c r="D1405" s="417"/>
      <c r="E1405" s="153">
        <v>149.9</v>
      </c>
      <c r="F1405" s="125">
        <v>2</v>
      </c>
      <c r="G1405" s="337"/>
      <c r="H1405" s="337"/>
      <c r="I1405" s="329"/>
      <c r="J1405" s="329"/>
      <c r="K1405" s="329"/>
      <c r="L1405" s="329"/>
      <c r="M1405" s="467"/>
      <c r="N1405" s="340"/>
    </row>
    <row r="1406" spans="1:14" ht="10.5" customHeight="1">
      <c r="A1406" s="386"/>
      <c r="B1406" s="398"/>
      <c r="C1406" s="386"/>
      <c r="D1406" s="417"/>
      <c r="E1406" s="153">
        <v>189.6</v>
      </c>
      <c r="F1406" s="125">
        <v>3</v>
      </c>
      <c r="G1406" s="337"/>
      <c r="H1406" s="337"/>
      <c r="I1406" s="329"/>
      <c r="J1406" s="329"/>
      <c r="K1406" s="329"/>
      <c r="L1406" s="329"/>
      <c r="M1406" s="467"/>
      <c r="N1406" s="340"/>
    </row>
    <row r="1407" spans="1:14" ht="10.5" customHeight="1">
      <c r="A1407" s="386"/>
      <c r="B1407" s="398"/>
      <c r="C1407" s="386"/>
      <c r="D1407" s="417"/>
      <c r="E1407" s="153">
        <v>2191.3</v>
      </c>
      <c r="F1407" s="125">
        <v>4</v>
      </c>
      <c r="G1407" s="337"/>
      <c r="H1407" s="337"/>
      <c r="I1407" s="329"/>
      <c r="J1407" s="329"/>
      <c r="K1407" s="329"/>
      <c r="L1407" s="329"/>
      <c r="M1407" s="467"/>
      <c r="N1407" s="340"/>
    </row>
    <row r="1408" spans="1:14" ht="10.5" customHeight="1">
      <c r="A1408" s="387"/>
      <c r="B1408" s="399"/>
      <c r="C1408" s="387"/>
      <c r="D1408" s="417"/>
      <c r="E1408" s="153">
        <f>E1404+E1405+E1406+E1407</f>
        <v>3320.3</v>
      </c>
      <c r="F1408" s="125">
        <v>5</v>
      </c>
      <c r="G1408" s="337"/>
      <c r="H1408" s="337"/>
      <c r="I1408" s="329"/>
      <c r="J1408" s="329"/>
      <c r="K1408" s="329"/>
      <c r="L1408" s="329"/>
      <c r="M1408" s="467"/>
      <c r="N1408" s="340"/>
    </row>
    <row r="1409" spans="1:14" ht="12" customHeight="1">
      <c r="A1409" s="411">
        <v>140</v>
      </c>
      <c r="B1409" s="383" t="s">
        <v>249</v>
      </c>
      <c r="C1409" s="322" t="s">
        <v>242</v>
      </c>
      <c r="D1409" s="471">
        <v>2013</v>
      </c>
      <c r="E1409" s="153">
        <v>3000</v>
      </c>
      <c r="F1409" s="125">
        <v>1</v>
      </c>
      <c r="G1409" s="337">
        <v>1.9</v>
      </c>
      <c r="H1409" s="337">
        <v>1200</v>
      </c>
      <c r="I1409" s="428"/>
      <c r="J1409" s="428"/>
      <c r="K1409" s="428"/>
      <c r="L1409" s="329">
        <v>4.8</v>
      </c>
      <c r="M1409" s="329">
        <v>1.5</v>
      </c>
      <c r="N1409" s="345"/>
    </row>
    <row r="1410" spans="1:14" ht="14.25" customHeight="1">
      <c r="A1410" s="412"/>
      <c r="B1410" s="384"/>
      <c r="C1410" s="351"/>
      <c r="D1410" s="472"/>
      <c r="E1410" s="153">
        <v>1600</v>
      </c>
      <c r="F1410" s="125">
        <v>2</v>
      </c>
      <c r="G1410" s="337"/>
      <c r="H1410" s="337"/>
      <c r="I1410" s="428"/>
      <c r="J1410" s="428"/>
      <c r="K1410" s="428"/>
      <c r="L1410" s="329"/>
      <c r="M1410" s="329"/>
      <c r="N1410" s="345"/>
    </row>
    <row r="1411" spans="1:14" ht="13.5" customHeight="1">
      <c r="A1411" s="412"/>
      <c r="B1411" s="384"/>
      <c r="C1411" s="351"/>
      <c r="D1411" s="472"/>
      <c r="E1411" s="153">
        <v>1000</v>
      </c>
      <c r="F1411" s="125">
        <v>3</v>
      </c>
      <c r="G1411" s="337"/>
      <c r="H1411" s="337"/>
      <c r="I1411" s="428"/>
      <c r="J1411" s="428"/>
      <c r="K1411" s="428"/>
      <c r="L1411" s="329"/>
      <c r="M1411" s="329"/>
      <c r="N1411" s="345"/>
    </row>
    <row r="1412" spans="1:14" ht="12.75" customHeight="1">
      <c r="A1412" s="419"/>
      <c r="B1412" s="385"/>
      <c r="C1412" s="351"/>
      <c r="D1412" s="473"/>
      <c r="E1412" s="153">
        <f>E1409+E1410+E1411</f>
        <v>5600</v>
      </c>
      <c r="F1412" s="125">
        <v>5</v>
      </c>
      <c r="G1412" s="337"/>
      <c r="H1412" s="337"/>
      <c r="I1412" s="428"/>
      <c r="J1412" s="428"/>
      <c r="K1412" s="428"/>
      <c r="L1412" s="329"/>
      <c r="M1412" s="329"/>
      <c r="N1412" s="345"/>
    </row>
    <row r="1413" spans="1:14" ht="11.25" customHeight="1">
      <c r="A1413" s="417">
        <v>141</v>
      </c>
      <c r="B1413" s="390" t="s">
        <v>250</v>
      </c>
      <c r="C1413" s="322" t="s">
        <v>368</v>
      </c>
      <c r="D1413" s="322" t="s">
        <v>120</v>
      </c>
      <c r="E1413" s="6">
        <f>E1417+E1420+E1424+E1428+E1432</f>
        <v>36207.1</v>
      </c>
      <c r="F1413" s="4">
        <v>1</v>
      </c>
      <c r="G1413" s="337">
        <f>SUM(G1417:G1435)</f>
        <v>1.58</v>
      </c>
      <c r="H1413" s="337">
        <f>SUM(H1417:H1435)</f>
        <v>2697.2</v>
      </c>
      <c r="I1413" s="469"/>
      <c r="J1413" s="469"/>
      <c r="K1413" s="469"/>
      <c r="L1413" s="329">
        <f>SUM(L1417:L1435)</f>
        <v>3.8419999999999996</v>
      </c>
      <c r="M1413" s="469"/>
      <c r="N1413" s="469"/>
    </row>
    <row r="1414" spans="1:14" ht="11.25" customHeight="1">
      <c r="A1414" s="417"/>
      <c r="B1414" s="390"/>
      <c r="C1414" s="322"/>
      <c r="D1414" s="351"/>
      <c r="E1414" s="6">
        <f>E1421+E1425+E1429+E1433</f>
        <v>199.4</v>
      </c>
      <c r="F1414" s="4">
        <v>2</v>
      </c>
      <c r="G1414" s="337"/>
      <c r="H1414" s="337"/>
      <c r="I1414" s="469"/>
      <c r="J1414" s="469"/>
      <c r="K1414" s="469"/>
      <c r="L1414" s="329"/>
      <c r="M1414" s="469"/>
      <c r="N1414" s="469"/>
    </row>
    <row r="1415" spans="1:14" ht="10.5" customHeight="1">
      <c r="A1415" s="417"/>
      <c r="B1415" s="390"/>
      <c r="C1415" s="322"/>
      <c r="D1415" s="351"/>
      <c r="E1415" s="6">
        <f>E1418+E1422+E1426+E1430+E1434</f>
        <v>1038.3</v>
      </c>
      <c r="F1415" s="4">
        <v>3</v>
      </c>
      <c r="G1415" s="337"/>
      <c r="H1415" s="337"/>
      <c r="I1415" s="469"/>
      <c r="J1415" s="469"/>
      <c r="K1415" s="469"/>
      <c r="L1415" s="329"/>
      <c r="M1415" s="469"/>
      <c r="N1415" s="469"/>
    </row>
    <row r="1416" spans="1:14" ht="10.5" customHeight="1">
      <c r="A1416" s="417"/>
      <c r="B1416" s="390"/>
      <c r="C1416" s="322"/>
      <c r="D1416" s="351"/>
      <c r="E1416" s="6">
        <f>E1413+E1414+E1415</f>
        <v>37444.8</v>
      </c>
      <c r="F1416" s="4">
        <v>5</v>
      </c>
      <c r="G1416" s="337"/>
      <c r="H1416" s="337"/>
      <c r="I1416" s="469"/>
      <c r="J1416" s="469"/>
      <c r="K1416" s="469"/>
      <c r="L1416" s="329"/>
      <c r="M1416" s="469"/>
      <c r="N1416" s="469"/>
    </row>
    <row r="1417" spans="1:14" ht="11.25" customHeight="1">
      <c r="A1417" s="417"/>
      <c r="B1417" s="390"/>
      <c r="C1417" s="322"/>
      <c r="D1417" s="428">
        <v>2011</v>
      </c>
      <c r="E1417" s="6">
        <v>7050</v>
      </c>
      <c r="F1417" s="4">
        <v>1</v>
      </c>
      <c r="G1417" s="337">
        <v>0.26</v>
      </c>
      <c r="H1417" s="337">
        <v>516</v>
      </c>
      <c r="I1417" s="469"/>
      <c r="J1417" s="469"/>
      <c r="K1417" s="469"/>
      <c r="L1417" s="329">
        <v>0.737</v>
      </c>
      <c r="M1417" s="469"/>
      <c r="N1417" s="469"/>
    </row>
    <row r="1418" spans="1:14" ht="11.25" customHeight="1">
      <c r="A1418" s="417"/>
      <c r="B1418" s="390"/>
      <c r="C1418" s="322"/>
      <c r="D1418" s="428"/>
      <c r="E1418" s="6">
        <v>200</v>
      </c>
      <c r="F1418" s="4">
        <v>3</v>
      </c>
      <c r="G1418" s="337"/>
      <c r="H1418" s="337"/>
      <c r="I1418" s="469"/>
      <c r="J1418" s="469"/>
      <c r="K1418" s="469"/>
      <c r="L1418" s="329"/>
      <c r="M1418" s="469"/>
      <c r="N1418" s="469"/>
    </row>
    <row r="1419" spans="1:14" ht="11.25" customHeight="1">
      <c r="A1419" s="417"/>
      <c r="B1419" s="390"/>
      <c r="C1419" s="322"/>
      <c r="D1419" s="428"/>
      <c r="E1419" s="6">
        <f>E1417+E1418</f>
        <v>7250</v>
      </c>
      <c r="F1419" s="4">
        <v>5</v>
      </c>
      <c r="G1419" s="337"/>
      <c r="H1419" s="337"/>
      <c r="I1419" s="469"/>
      <c r="J1419" s="469"/>
      <c r="K1419" s="469"/>
      <c r="L1419" s="329"/>
      <c r="M1419" s="469"/>
      <c r="N1419" s="469"/>
    </row>
    <row r="1420" spans="1:14" ht="11.25" customHeight="1">
      <c r="A1420" s="417"/>
      <c r="B1420" s="390"/>
      <c r="C1420" s="322"/>
      <c r="D1420" s="428">
        <v>2012</v>
      </c>
      <c r="E1420" s="6">
        <v>7310.2</v>
      </c>
      <c r="F1420" s="4">
        <v>1</v>
      </c>
      <c r="G1420" s="337">
        <v>0.27</v>
      </c>
      <c r="H1420" s="337">
        <v>538.8</v>
      </c>
      <c r="I1420" s="469"/>
      <c r="J1420" s="469"/>
      <c r="K1420" s="469"/>
      <c r="L1420" s="329">
        <v>0.776</v>
      </c>
      <c r="M1420" s="469"/>
      <c r="N1420" s="469"/>
    </row>
    <row r="1421" spans="1:14" ht="10.5" customHeight="1">
      <c r="A1421" s="417"/>
      <c r="B1421" s="390"/>
      <c r="C1421" s="322"/>
      <c r="D1421" s="428"/>
      <c r="E1421" s="6">
        <v>54.2</v>
      </c>
      <c r="F1421" s="4">
        <v>2</v>
      </c>
      <c r="G1421" s="337"/>
      <c r="H1421" s="337"/>
      <c r="I1421" s="469"/>
      <c r="J1421" s="469"/>
      <c r="K1421" s="469"/>
      <c r="L1421" s="329"/>
      <c r="M1421" s="469"/>
      <c r="N1421" s="469"/>
    </row>
    <row r="1422" spans="1:14" ht="10.5" customHeight="1">
      <c r="A1422" s="417"/>
      <c r="B1422" s="390"/>
      <c r="C1422" s="322"/>
      <c r="D1422" s="428"/>
      <c r="E1422" s="6">
        <v>210.4</v>
      </c>
      <c r="F1422" s="4">
        <v>3</v>
      </c>
      <c r="G1422" s="337"/>
      <c r="H1422" s="337"/>
      <c r="I1422" s="469"/>
      <c r="J1422" s="469"/>
      <c r="K1422" s="469"/>
      <c r="L1422" s="329"/>
      <c r="M1422" s="469"/>
      <c r="N1422" s="469"/>
    </row>
    <row r="1423" spans="1:14" ht="9.75" customHeight="1">
      <c r="A1423" s="417"/>
      <c r="B1423" s="390"/>
      <c r="C1423" s="322"/>
      <c r="D1423" s="428"/>
      <c r="E1423" s="6">
        <f>E1420+E1421+E1422</f>
        <v>7574.799999999999</v>
      </c>
      <c r="F1423" s="4">
        <v>5</v>
      </c>
      <c r="G1423" s="337"/>
      <c r="H1423" s="337"/>
      <c r="I1423" s="469"/>
      <c r="J1423" s="469"/>
      <c r="K1423" s="469"/>
      <c r="L1423" s="329"/>
      <c r="M1423" s="469"/>
      <c r="N1423" s="469"/>
    </row>
    <row r="1424" spans="1:14" ht="10.5" customHeight="1">
      <c r="A1424" s="417"/>
      <c r="B1424" s="390"/>
      <c r="C1424" s="322"/>
      <c r="D1424" s="428">
        <v>2013</v>
      </c>
      <c r="E1424" s="6">
        <v>7282.3</v>
      </c>
      <c r="F1424" s="4">
        <v>1</v>
      </c>
      <c r="G1424" s="337">
        <v>0.27</v>
      </c>
      <c r="H1424" s="337">
        <v>538.8</v>
      </c>
      <c r="I1424" s="469"/>
      <c r="J1424" s="469"/>
      <c r="K1424" s="469"/>
      <c r="L1424" s="329">
        <v>0.777</v>
      </c>
      <c r="M1424" s="469"/>
      <c r="N1424" s="469"/>
    </row>
    <row r="1425" spans="1:14" ht="10.5" customHeight="1">
      <c r="A1425" s="417"/>
      <c r="B1425" s="390"/>
      <c r="C1425" s="322"/>
      <c r="D1425" s="428"/>
      <c r="E1425" s="6">
        <v>48.4</v>
      </c>
      <c r="F1425" s="4">
        <v>2</v>
      </c>
      <c r="G1425" s="337"/>
      <c r="H1425" s="337"/>
      <c r="I1425" s="469"/>
      <c r="J1425" s="469"/>
      <c r="K1425" s="469"/>
      <c r="L1425" s="329"/>
      <c r="M1425" s="469"/>
      <c r="N1425" s="469"/>
    </row>
    <row r="1426" spans="1:14" ht="10.5" customHeight="1">
      <c r="A1426" s="417"/>
      <c r="B1426" s="390"/>
      <c r="C1426" s="322"/>
      <c r="D1426" s="428"/>
      <c r="E1426" s="6">
        <v>209.3</v>
      </c>
      <c r="F1426" s="4">
        <v>3</v>
      </c>
      <c r="G1426" s="337"/>
      <c r="H1426" s="337"/>
      <c r="I1426" s="469"/>
      <c r="J1426" s="469"/>
      <c r="K1426" s="469"/>
      <c r="L1426" s="329"/>
      <c r="M1426" s="469"/>
      <c r="N1426" s="469"/>
    </row>
    <row r="1427" spans="1:14" ht="10.5" customHeight="1">
      <c r="A1427" s="417"/>
      <c r="B1427" s="390"/>
      <c r="C1427" s="322"/>
      <c r="D1427" s="428"/>
      <c r="E1427" s="6">
        <f>E1424+E1425+E1426</f>
        <v>7540</v>
      </c>
      <c r="F1427" s="4">
        <v>5</v>
      </c>
      <c r="G1427" s="337"/>
      <c r="H1427" s="337"/>
      <c r="I1427" s="469"/>
      <c r="J1427" s="469"/>
      <c r="K1427" s="469"/>
      <c r="L1427" s="329"/>
      <c r="M1427" s="469"/>
      <c r="N1427" s="469"/>
    </row>
    <row r="1428" spans="1:14" ht="10.5" customHeight="1">
      <c r="A1428" s="417"/>
      <c r="B1428" s="390"/>
      <c r="C1428" s="322"/>
      <c r="D1428" s="428">
        <v>2014</v>
      </c>
      <c r="E1428" s="6">
        <v>7282.3</v>
      </c>
      <c r="F1428" s="4">
        <v>1</v>
      </c>
      <c r="G1428" s="337">
        <v>0.39</v>
      </c>
      <c r="H1428" s="337">
        <v>551.8</v>
      </c>
      <c r="I1428" s="469"/>
      <c r="J1428" s="469"/>
      <c r="K1428" s="469"/>
      <c r="L1428" s="329">
        <v>0.776</v>
      </c>
      <c r="M1428" s="469"/>
      <c r="N1428" s="469"/>
    </row>
    <row r="1429" spans="1:14" ht="10.5" customHeight="1">
      <c r="A1429" s="417"/>
      <c r="B1429" s="390"/>
      <c r="C1429" s="322"/>
      <c r="D1429" s="428"/>
      <c r="E1429" s="6">
        <v>48.4</v>
      </c>
      <c r="F1429" s="4">
        <v>2</v>
      </c>
      <c r="G1429" s="337"/>
      <c r="H1429" s="337"/>
      <c r="I1429" s="469"/>
      <c r="J1429" s="469"/>
      <c r="K1429" s="469"/>
      <c r="L1429" s="329"/>
      <c r="M1429" s="469"/>
      <c r="N1429" s="469"/>
    </row>
    <row r="1430" spans="1:14" ht="10.5" customHeight="1">
      <c r="A1430" s="417"/>
      <c r="B1430" s="390"/>
      <c r="C1430" s="322"/>
      <c r="D1430" s="428"/>
      <c r="E1430" s="6">
        <v>209.3</v>
      </c>
      <c r="F1430" s="4">
        <v>3</v>
      </c>
      <c r="G1430" s="337"/>
      <c r="H1430" s="337"/>
      <c r="I1430" s="469"/>
      <c r="J1430" s="469"/>
      <c r="K1430" s="469"/>
      <c r="L1430" s="329"/>
      <c r="M1430" s="469"/>
      <c r="N1430" s="469"/>
    </row>
    <row r="1431" spans="1:14" ht="10.5" customHeight="1">
      <c r="A1431" s="417"/>
      <c r="B1431" s="390"/>
      <c r="C1431" s="322"/>
      <c r="D1431" s="428"/>
      <c r="E1431" s="6">
        <f>E1428+E1429+E1430</f>
        <v>7540</v>
      </c>
      <c r="F1431" s="4">
        <v>5</v>
      </c>
      <c r="G1431" s="337"/>
      <c r="H1431" s="337"/>
      <c r="I1431" s="469"/>
      <c r="J1431" s="469"/>
      <c r="K1431" s="469"/>
      <c r="L1431" s="329"/>
      <c r="M1431" s="469"/>
      <c r="N1431" s="469"/>
    </row>
    <row r="1432" spans="1:14" ht="10.5" customHeight="1">
      <c r="A1432" s="365"/>
      <c r="B1432" s="365"/>
      <c r="C1432" s="365"/>
      <c r="D1432" s="417">
        <v>2015</v>
      </c>
      <c r="E1432" s="6">
        <v>7282.3</v>
      </c>
      <c r="F1432" s="4">
        <v>1</v>
      </c>
      <c r="G1432" s="337">
        <v>0.39</v>
      </c>
      <c r="H1432" s="337">
        <v>551.8</v>
      </c>
      <c r="I1432" s="469"/>
      <c r="J1432" s="469"/>
      <c r="K1432" s="469"/>
      <c r="L1432" s="329">
        <v>0.776</v>
      </c>
      <c r="M1432" s="467"/>
      <c r="N1432" s="340"/>
    </row>
    <row r="1433" spans="1:14" ht="11.25" customHeight="1">
      <c r="A1433" s="365"/>
      <c r="B1433" s="365"/>
      <c r="C1433" s="365"/>
      <c r="D1433" s="417"/>
      <c r="E1433" s="6">
        <v>48.4</v>
      </c>
      <c r="F1433" s="4">
        <v>2</v>
      </c>
      <c r="G1433" s="337"/>
      <c r="H1433" s="337"/>
      <c r="I1433" s="469"/>
      <c r="J1433" s="469"/>
      <c r="K1433" s="469"/>
      <c r="L1433" s="329"/>
      <c r="M1433" s="467"/>
      <c r="N1433" s="340"/>
    </row>
    <row r="1434" spans="1:14" ht="11.25" customHeight="1">
      <c r="A1434" s="365"/>
      <c r="B1434" s="365"/>
      <c r="C1434" s="365"/>
      <c r="D1434" s="417"/>
      <c r="E1434" s="6">
        <v>209.3</v>
      </c>
      <c r="F1434" s="4">
        <v>3</v>
      </c>
      <c r="G1434" s="337"/>
      <c r="H1434" s="337"/>
      <c r="I1434" s="469"/>
      <c r="J1434" s="469"/>
      <c r="K1434" s="469"/>
      <c r="L1434" s="329"/>
      <c r="M1434" s="467"/>
      <c r="N1434" s="340"/>
    </row>
    <row r="1435" spans="1:14" ht="11.25" customHeight="1">
      <c r="A1435" s="365"/>
      <c r="B1435" s="365"/>
      <c r="C1435" s="365"/>
      <c r="D1435" s="417"/>
      <c r="E1435" s="6">
        <f>E1432+E1433+E1434</f>
        <v>7540</v>
      </c>
      <c r="F1435" s="4">
        <v>5</v>
      </c>
      <c r="G1435" s="337"/>
      <c r="H1435" s="337"/>
      <c r="I1435" s="469"/>
      <c r="J1435" s="469"/>
      <c r="K1435" s="469"/>
      <c r="L1435" s="329"/>
      <c r="M1435" s="467"/>
      <c r="N1435" s="340"/>
    </row>
    <row r="1436" spans="1:14" ht="21.75" customHeight="1">
      <c r="A1436" s="417">
        <v>142</v>
      </c>
      <c r="B1436" s="424" t="s">
        <v>259</v>
      </c>
      <c r="C1436" s="403" t="s">
        <v>264</v>
      </c>
      <c r="D1436" s="56" t="s">
        <v>158</v>
      </c>
      <c r="E1436" s="25">
        <f>SUM(E1437:E1441)</f>
        <v>562352.85</v>
      </c>
      <c r="F1436" s="65">
        <v>1</v>
      </c>
      <c r="G1436" s="25">
        <f>SUM(G1437:G1441)</f>
        <v>27.459999999999997</v>
      </c>
      <c r="H1436" s="25">
        <f>SUM(H1437:H1441)</f>
        <v>40676.979999999996</v>
      </c>
      <c r="I1436" s="48"/>
      <c r="J1436" s="48"/>
      <c r="K1436" s="48"/>
      <c r="L1436" s="48">
        <f>SUM(L1437:L1441)</f>
        <v>78.23500000000001</v>
      </c>
      <c r="M1436" s="27"/>
      <c r="N1436" s="53"/>
    </row>
    <row r="1437" spans="1:14" ht="11.25" customHeight="1">
      <c r="A1437" s="417"/>
      <c r="B1437" s="424"/>
      <c r="C1437" s="403"/>
      <c r="D1437" s="65">
        <v>2011</v>
      </c>
      <c r="E1437" s="25">
        <v>101039.38</v>
      </c>
      <c r="F1437" s="65">
        <v>1</v>
      </c>
      <c r="G1437" s="25">
        <v>5.86</v>
      </c>
      <c r="H1437" s="25">
        <v>8675.33</v>
      </c>
      <c r="I1437" s="48"/>
      <c r="J1437" s="48"/>
      <c r="K1437" s="48"/>
      <c r="L1437" s="48">
        <v>16.68</v>
      </c>
      <c r="M1437" s="27"/>
      <c r="N1437" s="53"/>
    </row>
    <row r="1438" spans="1:14" ht="11.25" customHeight="1">
      <c r="A1438" s="417"/>
      <c r="B1438" s="424"/>
      <c r="C1438" s="403"/>
      <c r="D1438" s="65">
        <v>2012</v>
      </c>
      <c r="E1438" s="25">
        <v>92638.24</v>
      </c>
      <c r="F1438" s="65">
        <v>1</v>
      </c>
      <c r="G1438" s="25">
        <v>3.02</v>
      </c>
      <c r="H1438" s="25">
        <v>4473.73</v>
      </c>
      <c r="I1438" s="48"/>
      <c r="J1438" s="48"/>
      <c r="K1438" s="48"/>
      <c r="L1438" s="48">
        <v>8.63</v>
      </c>
      <c r="M1438" s="27"/>
      <c r="N1438" s="53"/>
    </row>
    <row r="1439" spans="1:14" ht="11.25" customHeight="1">
      <c r="A1439" s="417"/>
      <c r="B1439" s="424"/>
      <c r="C1439" s="403"/>
      <c r="D1439" s="65">
        <v>2013</v>
      </c>
      <c r="E1439" s="25">
        <v>128626.57</v>
      </c>
      <c r="F1439" s="65">
        <v>1</v>
      </c>
      <c r="G1439" s="25">
        <v>6.89</v>
      </c>
      <c r="H1439" s="25">
        <v>10205.86</v>
      </c>
      <c r="I1439" s="48"/>
      <c r="J1439" s="48"/>
      <c r="K1439" s="48"/>
      <c r="L1439" s="48">
        <v>19.62</v>
      </c>
      <c r="M1439" s="27"/>
      <c r="N1439" s="53"/>
    </row>
    <row r="1440" spans="1:14" ht="11.25" customHeight="1">
      <c r="A1440" s="417"/>
      <c r="B1440" s="424"/>
      <c r="C1440" s="403"/>
      <c r="D1440" s="65">
        <v>2014</v>
      </c>
      <c r="E1440" s="25">
        <v>123891.33</v>
      </c>
      <c r="F1440" s="65">
        <v>1</v>
      </c>
      <c r="G1440" s="25">
        <v>5.42</v>
      </c>
      <c r="H1440" s="25">
        <v>8027.93</v>
      </c>
      <c r="I1440" s="48"/>
      <c r="J1440" s="48"/>
      <c r="K1440" s="48"/>
      <c r="L1440" s="48">
        <v>15.435</v>
      </c>
      <c r="M1440" s="27"/>
      <c r="N1440" s="53"/>
    </row>
    <row r="1441" spans="1:14" ht="11.25" customHeight="1">
      <c r="A1441" s="417"/>
      <c r="B1441" s="424"/>
      <c r="C1441" s="403"/>
      <c r="D1441" s="65">
        <v>2015</v>
      </c>
      <c r="E1441" s="25">
        <v>116157.33</v>
      </c>
      <c r="F1441" s="65">
        <v>1</v>
      </c>
      <c r="G1441" s="25">
        <v>6.27</v>
      </c>
      <c r="H1441" s="25">
        <v>9294.13</v>
      </c>
      <c r="I1441" s="48"/>
      <c r="J1441" s="48"/>
      <c r="K1441" s="48"/>
      <c r="L1441" s="48">
        <v>17.87</v>
      </c>
      <c r="M1441" s="27"/>
      <c r="N1441" s="53"/>
    </row>
    <row r="1442" spans="1:14" ht="11.25" customHeight="1">
      <c r="A1442" s="417">
        <v>143</v>
      </c>
      <c r="B1442" s="424" t="s">
        <v>260</v>
      </c>
      <c r="C1442" s="403" t="s">
        <v>264</v>
      </c>
      <c r="D1442" s="322" t="s">
        <v>261</v>
      </c>
      <c r="E1442" s="78">
        <f>E1446+E1447+E1451</f>
        <v>49197.78</v>
      </c>
      <c r="F1442" s="123">
        <v>1</v>
      </c>
      <c r="G1442" s="350">
        <f>SUM(G1446:G1451)</f>
        <v>6.03</v>
      </c>
      <c r="H1442" s="350">
        <f>SUM(H1446:H1451)</f>
        <v>8938.800000000001</v>
      </c>
      <c r="I1442" s="468"/>
      <c r="J1442" s="468"/>
      <c r="K1442" s="468"/>
      <c r="L1442" s="467">
        <f>SUM(L1446:L1451)</f>
        <v>17.19</v>
      </c>
      <c r="M1442" s="467"/>
      <c r="N1442" s="340"/>
    </row>
    <row r="1443" spans="1:14" ht="12" customHeight="1">
      <c r="A1443" s="417"/>
      <c r="B1443" s="424"/>
      <c r="C1443" s="403"/>
      <c r="D1443" s="322"/>
      <c r="E1443" s="78">
        <f>E1444</f>
        <v>168</v>
      </c>
      <c r="F1443" s="123">
        <v>2</v>
      </c>
      <c r="G1443" s="350"/>
      <c r="H1443" s="350"/>
      <c r="I1443" s="468"/>
      <c r="J1443" s="468"/>
      <c r="K1443" s="468"/>
      <c r="L1443" s="467"/>
      <c r="M1443" s="467"/>
      <c r="N1443" s="340"/>
    </row>
    <row r="1444" spans="1:14" ht="10.5" customHeight="1">
      <c r="A1444" s="417"/>
      <c r="B1444" s="424"/>
      <c r="C1444" s="403"/>
      <c r="D1444" s="322"/>
      <c r="E1444" s="78">
        <f>E1449</f>
        <v>168</v>
      </c>
      <c r="F1444" s="123" t="s">
        <v>258</v>
      </c>
      <c r="G1444" s="350"/>
      <c r="H1444" s="350"/>
      <c r="I1444" s="468"/>
      <c r="J1444" s="468"/>
      <c r="K1444" s="468"/>
      <c r="L1444" s="467"/>
      <c r="M1444" s="467"/>
      <c r="N1444" s="340"/>
    </row>
    <row r="1445" spans="1:14" ht="11.25" customHeight="1">
      <c r="A1445" s="417"/>
      <c r="B1445" s="424"/>
      <c r="C1445" s="403"/>
      <c r="D1445" s="322"/>
      <c r="E1445" s="78">
        <f>E1442+E1443</f>
        <v>49365.78</v>
      </c>
      <c r="F1445" s="123">
        <v>5</v>
      </c>
      <c r="G1445" s="350"/>
      <c r="H1445" s="350"/>
      <c r="I1445" s="468"/>
      <c r="J1445" s="468"/>
      <c r="K1445" s="468"/>
      <c r="L1445" s="467"/>
      <c r="M1445" s="467"/>
      <c r="N1445" s="340"/>
    </row>
    <row r="1446" spans="1:14" ht="12" customHeight="1">
      <c r="A1446" s="417"/>
      <c r="B1446" s="424"/>
      <c r="C1446" s="403"/>
      <c r="D1446" s="65">
        <v>2011</v>
      </c>
      <c r="E1446" s="25">
        <v>36813.78</v>
      </c>
      <c r="F1446" s="65">
        <v>1</v>
      </c>
      <c r="G1446" s="25">
        <v>3.01</v>
      </c>
      <c r="H1446" s="25">
        <v>4461.6</v>
      </c>
      <c r="I1446" s="48"/>
      <c r="J1446" s="48"/>
      <c r="K1446" s="48"/>
      <c r="L1446" s="48">
        <v>8.58</v>
      </c>
      <c r="M1446" s="27"/>
      <c r="N1446" s="53"/>
    </row>
    <row r="1447" spans="1:14" ht="10.5" customHeight="1">
      <c r="A1447" s="417"/>
      <c r="B1447" s="424"/>
      <c r="C1447" s="403"/>
      <c r="D1447" s="301">
        <v>2012</v>
      </c>
      <c r="E1447" s="25">
        <v>4407</v>
      </c>
      <c r="F1447" s="65">
        <v>1</v>
      </c>
      <c r="G1447" s="470">
        <v>2.07</v>
      </c>
      <c r="H1447" s="470">
        <v>3068</v>
      </c>
      <c r="I1447" s="468"/>
      <c r="J1447" s="468"/>
      <c r="K1447" s="468"/>
      <c r="L1447" s="468">
        <v>5.9</v>
      </c>
      <c r="M1447" s="467"/>
      <c r="N1447" s="340"/>
    </row>
    <row r="1448" spans="1:14" ht="10.5" customHeight="1">
      <c r="A1448" s="417"/>
      <c r="B1448" s="424"/>
      <c r="C1448" s="403"/>
      <c r="D1448" s="301"/>
      <c r="E1448" s="25">
        <f>E1449</f>
        <v>168</v>
      </c>
      <c r="F1448" s="65">
        <v>2</v>
      </c>
      <c r="G1448" s="470"/>
      <c r="H1448" s="470"/>
      <c r="I1448" s="468"/>
      <c r="J1448" s="468"/>
      <c r="K1448" s="468"/>
      <c r="L1448" s="468"/>
      <c r="M1448" s="467"/>
      <c r="N1448" s="340"/>
    </row>
    <row r="1449" spans="1:14" ht="11.25" customHeight="1">
      <c r="A1449" s="417"/>
      <c r="B1449" s="424"/>
      <c r="C1449" s="403"/>
      <c r="D1449" s="301"/>
      <c r="E1449" s="25">
        <v>168</v>
      </c>
      <c r="F1449" s="65" t="s">
        <v>258</v>
      </c>
      <c r="G1449" s="470"/>
      <c r="H1449" s="470"/>
      <c r="I1449" s="468"/>
      <c r="J1449" s="468"/>
      <c r="K1449" s="468"/>
      <c r="L1449" s="468"/>
      <c r="M1449" s="467"/>
      <c r="N1449" s="340"/>
    </row>
    <row r="1450" spans="1:14" ht="10.5" customHeight="1">
      <c r="A1450" s="417"/>
      <c r="B1450" s="424"/>
      <c r="C1450" s="403"/>
      <c r="D1450" s="301"/>
      <c r="E1450" s="25">
        <f>E1447+E1448</f>
        <v>4575</v>
      </c>
      <c r="F1450" s="65">
        <v>5</v>
      </c>
      <c r="G1450" s="470"/>
      <c r="H1450" s="470"/>
      <c r="I1450" s="468"/>
      <c r="J1450" s="468"/>
      <c r="K1450" s="468"/>
      <c r="L1450" s="468"/>
      <c r="M1450" s="467"/>
      <c r="N1450" s="340"/>
    </row>
    <row r="1451" spans="1:14" ht="11.25" customHeight="1">
      <c r="A1451" s="417"/>
      <c r="B1451" s="424"/>
      <c r="C1451" s="403"/>
      <c r="D1451" s="65">
        <v>2013</v>
      </c>
      <c r="E1451" s="25">
        <v>7977</v>
      </c>
      <c r="F1451" s="65">
        <v>1</v>
      </c>
      <c r="G1451" s="25">
        <v>0.95</v>
      </c>
      <c r="H1451" s="25">
        <v>1409.2</v>
      </c>
      <c r="I1451" s="48"/>
      <c r="J1451" s="48"/>
      <c r="K1451" s="48"/>
      <c r="L1451" s="48">
        <v>2.71</v>
      </c>
      <c r="M1451" s="27"/>
      <c r="N1451" s="53"/>
    </row>
    <row r="1452" spans="1:14" ht="22.5" customHeight="1">
      <c r="A1452" s="41">
        <v>144</v>
      </c>
      <c r="B1452" s="42" t="s">
        <v>476</v>
      </c>
      <c r="C1452" s="41" t="s">
        <v>264</v>
      </c>
      <c r="D1452" s="65">
        <v>2011</v>
      </c>
      <c r="E1452" s="25">
        <v>2365.67</v>
      </c>
      <c r="F1452" s="65">
        <v>1</v>
      </c>
      <c r="G1452" s="25">
        <v>0.21</v>
      </c>
      <c r="H1452" s="25">
        <v>312</v>
      </c>
      <c r="I1452" s="48"/>
      <c r="J1452" s="48"/>
      <c r="K1452" s="48"/>
      <c r="L1452" s="48">
        <v>0.6</v>
      </c>
      <c r="M1452" s="27"/>
      <c r="N1452" s="53"/>
    </row>
    <row r="1453" spans="1:14" ht="10.5" customHeight="1">
      <c r="A1453" s="411">
        <v>145</v>
      </c>
      <c r="B1453" s="404" t="s">
        <v>262</v>
      </c>
      <c r="C1453" s="373" t="s">
        <v>264</v>
      </c>
      <c r="D1453" s="403" t="s">
        <v>158</v>
      </c>
      <c r="E1453" s="25">
        <f>SUM(E1457+E1461+E1465+E1469+E1473)</f>
        <v>6988.6900000000005</v>
      </c>
      <c r="F1453" s="65">
        <v>1</v>
      </c>
      <c r="G1453" s="350">
        <f>SUM(G1457:G1476)</f>
        <v>11.010000000000002</v>
      </c>
      <c r="H1453" s="350">
        <f>SUM(H1457:H1475)</f>
        <v>16312.4</v>
      </c>
      <c r="I1453" s="467"/>
      <c r="J1453" s="467"/>
      <c r="K1453" s="467"/>
      <c r="L1453" s="467">
        <f>SUM(L1457:L1475)</f>
        <v>31.369999999999997</v>
      </c>
      <c r="M1453" s="467"/>
      <c r="N1453" s="340"/>
    </row>
    <row r="1454" spans="1:14" ht="10.5" customHeight="1">
      <c r="A1454" s="412"/>
      <c r="B1454" s="405"/>
      <c r="C1454" s="348"/>
      <c r="D1454" s="403"/>
      <c r="E1454" s="25">
        <f>E1455</f>
        <v>2747.24</v>
      </c>
      <c r="F1454" s="65">
        <v>2</v>
      </c>
      <c r="G1454" s="350"/>
      <c r="H1454" s="350"/>
      <c r="I1454" s="467"/>
      <c r="J1454" s="467"/>
      <c r="K1454" s="467"/>
      <c r="L1454" s="467"/>
      <c r="M1454" s="467"/>
      <c r="N1454" s="340"/>
    </row>
    <row r="1455" spans="1:14" ht="10.5" customHeight="1">
      <c r="A1455" s="412"/>
      <c r="B1455" s="405"/>
      <c r="C1455" s="348"/>
      <c r="D1455" s="403"/>
      <c r="E1455" s="25">
        <f>SUM(E1459+E1463+E1467+E1471+E1475)</f>
        <v>2747.24</v>
      </c>
      <c r="F1455" s="65" t="s">
        <v>258</v>
      </c>
      <c r="G1455" s="350"/>
      <c r="H1455" s="350"/>
      <c r="I1455" s="467"/>
      <c r="J1455" s="467"/>
      <c r="K1455" s="467"/>
      <c r="L1455" s="467"/>
      <c r="M1455" s="467"/>
      <c r="N1455" s="340"/>
    </row>
    <row r="1456" spans="1:14" ht="10.5" customHeight="1">
      <c r="A1456" s="412"/>
      <c r="B1456" s="405"/>
      <c r="C1456" s="348"/>
      <c r="D1456" s="403"/>
      <c r="E1456" s="25">
        <f>E1453+E1454</f>
        <v>9735.93</v>
      </c>
      <c r="F1456" s="65">
        <v>5</v>
      </c>
      <c r="G1456" s="350"/>
      <c r="H1456" s="350"/>
      <c r="I1456" s="467"/>
      <c r="J1456" s="467"/>
      <c r="K1456" s="467"/>
      <c r="L1456" s="467"/>
      <c r="M1456" s="467"/>
      <c r="N1456" s="340"/>
    </row>
    <row r="1457" spans="1:14" ht="10.5" customHeight="1">
      <c r="A1457" s="412"/>
      <c r="B1457" s="405"/>
      <c r="C1457" s="348"/>
      <c r="D1457" s="417">
        <v>2011</v>
      </c>
      <c r="E1457" s="25">
        <v>1969.69</v>
      </c>
      <c r="F1457" s="65">
        <v>1</v>
      </c>
      <c r="G1457" s="350">
        <v>4.01</v>
      </c>
      <c r="H1457" s="350">
        <v>5938.4</v>
      </c>
      <c r="I1457" s="467"/>
      <c r="J1457" s="467"/>
      <c r="K1457" s="467"/>
      <c r="L1457" s="467">
        <v>11.42</v>
      </c>
      <c r="M1457" s="467"/>
      <c r="N1457" s="340"/>
    </row>
    <row r="1458" spans="1:14" ht="10.5" customHeight="1">
      <c r="A1458" s="412"/>
      <c r="B1458" s="405"/>
      <c r="C1458" s="348"/>
      <c r="D1458" s="417"/>
      <c r="E1458" s="25">
        <f>E1459</f>
        <v>596.24</v>
      </c>
      <c r="F1458" s="65">
        <v>2</v>
      </c>
      <c r="G1458" s="350"/>
      <c r="H1458" s="350"/>
      <c r="I1458" s="467"/>
      <c r="J1458" s="467"/>
      <c r="K1458" s="467"/>
      <c r="L1458" s="467"/>
      <c r="M1458" s="467"/>
      <c r="N1458" s="340"/>
    </row>
    <row r="1459" spans="1:14" ht="10.5" customHeight="1">
      <c r="A1459" s="412"/>
      <c r="B1459" s="405"/>
      <c r="C1459" s="348"/>
      <c r="D1459" s="417"/>
      <c r="E1459" s="25">
        <v>596.24</v>
      </c>
      <c r="F1459" s="65" t="s">
        <v>258</v>
      </c>
      <c r="G1459" s="350"/>
      <c r="H1459" s="350"/>
      <c r="I1459" s="467"/>
      <c r="J1459" s="467"/>
      <c r="K1459" s="467"/>
      <c r="L1459" s="467"/>
      <c r="M1459" s="467"/>
      <c r="N1459" s="340"/>
    </row>
    <row r="1460" spans="1:14" ht="10.5" customHeight="1">
      <c r="A1460" s="412"/>
      <c r="B1460" s="405"/>
      <c r="C1460" s="348"/>
      <c r="D1460" s="417"/>
      <c r="E1460" s="25">
        <f>E1457+E1458</f>
        <v>2565.9300000000003</v>
      </c>
      <c r="F1460" s="65">
        <v>5</v>
      </c>
      <c r="G1460" s="350"/>
      <c r="H1460" s="350"/>
      <c r="I1460" s="467"/>
      <c r="J1460" s="467"/>
      <c r="K1460" s="467"/>
      <c r="L1460" s="467"/>
      <c r="M1460" s="467"/>
      <c r="N1460" s="340"/>
    </row>
    <row r="1461" spans="1:14" ht="10.5" customHeight="1">
      <c r="A1461" s="412"/>
      <c r="B1461" s="405"/>
      <c r="C1461" s="348"/>
      <c r="D1461" s="417">
        <v>2012</v>
      </c>
      <c r="E1461" s="211">
        <v>1666</v>
      </c>
      <c r="F1461" s="41">
        <v>1</v>
      </c>
      <c r="G1461" s="350">
        <v>2.2</v>
      </c>
      <c r="H1461" s="350">
        <v>3260.4</v>
      </c>
      <c r="I1461" s="467"/>
      <c r="J1461" s="467"/>
      <c r="K1461" s="467"/>
      <c r="L1461" s="467">
        <v>6.27</v>
      </c>
      <c r="M1461" s="467"/>
      <c r="N1461" s="340"/>
    </row>
    <row r="1462" spans="1:14" ht="11.25" customHeight="1">
      <c r="A1462" s="412"/>
      <c r="B1462" s="405"/>
      <c r="C1462" s="348"/>
      <c r="D1462" s="417"/>
      <c r="E1462" s="211">
        <f>E1463</f>
        <v>714</v>
      </c>
      <c r="F1462" s="41">
        <v>2</v>
      </c>
      <c r="G1462" s="350"/>
      <c r="H1462" s="350"/>
      <c r="I1462" s="467"/>
      <c r="J1462" s="467"/>
      <c r="K1462" s="467"/>
      <c r="L1462" s="467"/>
      <c r="M1462" s="467"/>
      <c r="N1462" s="340"/>
    </row>
    <row r="1463" spans="1:14" ht="10.5" customHeight="1">
      <c r="A1463" s="412"/>
      <c r="B1463" s="405"/>
      <c r="C1463" s="348"/>
      <c r="D1463" s="417"/>
      <c r="E1463" s="211">
        <v>714</v>
      </c>
      <c r="F1463" s="41" t="s">
        <v>258</v>
      </c>
      <c r="G1463" s="350"/>
      <c r="H1463" s="350"/>
      <c r="I1463" s="467"/>
      <c r="J1463" s="467"/>
      <c r="K1463" s="467"/>
      <c r="L1463" s="467"/>
      <c r="M1463" s="467"/>
      <c r="N1463" s="340"/>
    </row>
    <row r="1464" spans="1:14" ht="11.25" customHeight="1">
      <c r="A1464" s="412"/>
      <c r="B1464" s="405"/>
      <c r="C1464" s="348"/>
      <c r="D1464" s="417"/>
      <c r="E1464" s="211">
        <f>E1461+E1462</f>
        <v>2380</v>
      </c>
      <c r="F1464" s="41">
        <v>5</v>
      </c>
      <c r="G1464" s="350"/>
      <c r="H1464" s="350"/>
      <c r="I1464" s="467"/>
      <c r="J1464" s="467"/>
      <c r="K1464" s="467"/>
      <c r="L1464" s="467"/>
      <c r="M1464" s="467"/>
      <c r="N1464" s="340"/>
    </row>
    <row r="1465" spans="1:14" ht="11.25" customHeight="1">
      <c r="A1465" s="412"/>
      <c r="B1465" s="405"/>
      <c r="C1465" s="348"/>
      <c r="D1465" s="417">
        <v>2013</v>
      </c>
      <c r="E1465" s="211">
        <v>1344</v>
      </c>
      <c r="F1465" s="41">
        <v>1</v>
      </c>
      <c r="G1465" s="350">
        <v>2.04</v>
      </c>
      <c r="H1465" s="350">
        <v>3016</v>
      </c>
      <c r="I1465" s="467"/>
      <c r="J1465" s="467"/>
      <c r="K1465" s="467"/>
      <c r="L1465" s="467">
        <v>5.8</v>
      </c>
      <c r="M1465" s="467"/>
      <c r="N1465" s="340"/>
    </row>
    <row r="1466" spans="1:14" ht="10.5" customHeight="1">
      <c r="A1466" s="412"/>
      <c r="B1466" s="405"/>
      <c r="C1466" s="348"/>
      <c r="D1466" s="417"/>
      <c r="E1466" s="211">
        <f>E1467</f>
        <v>576</v>
      </c>
      <c r="F1466" s="41">
        <v>2</v>
      </c>
      <c r="G1466" s="350"/>
      <c r="H1466" s="350"/>
      <c r="I1466" s="467"/>
      <c r="J1466" s="467"/>
      <c r="K1466" s="467"/>
      <c r="L1466" s="467"/>
      <c r="M1466" s="467"/>
      <c r="N1466" s="340"/>
    </row>
    <row r="1467" spans="1:14" ht="10.5" customHeight="1">
      <c r="A1467" s="412"/>
      <c r="B1467" s="405"/>
      <c r="C1467" s="348"/>
      <c r="D1467" s="417"/>
      <c r="E1467" s="211">
        <v>576</v>
      </c>
      <c r="F1467" s="41" t="s">
        <v>258</v>
      </c>
      <c r="G1467" s="350"/>
      <c r="H1467" s="350"/>
      <c r="I1467" s="467"/>
      <c r="J1467" s="467"/>
      <c r="K1467" s="467"/>
      <c r="L1467" s="467"/>
      <c r="M1467" s="467"/>
      <c r="N1467" s="340"/>
    </row>
    <row r="1468" spans="1:14" ht="10.5" customHeight="1">
      <c r="A1468" s="412"/>
      <c r="B1468" s="405"/>
      <c r="C1468" s="348"/>
      <c r="D1468" s="417"/>
      <c r="E1468" s="211">
        <f>E1465+E1466</f>
        <v>1920</v>
      </c>
      <c r="F1468" s="41">
        <v>5</v>
      </c>
      <c r="G1468" s="350"/>
      <c r="H1468" s="350"/>
      <c r="I1468" s="467"/>
      <c r="J1468" s="467"/>
      <c r="K1468" s="467"/>
      <c r="L1468" s="467"/>
      <c r="M1468" s="467"/>
      <c r="N1468" s="340"/>
    </row>
    <row r="1469" spans="1:14" ht="10.5" customHeight="1">
      <c r="A1469" s="412"/>
      <c r="B1469" s="405"/>
      <c r="C1469" s="348"/>
      <c r="D1469" s="417">
        <v>2014</v>
      </c>
      <c r="E1469" s="211">
        <v>1099</v>
      </c>
      <c r="F1469" s="41">
        <v>1</v>
      </c>
      <c r="G1469" s="350">
        <v>1.47</v>
      </c>
      <c r="H1469" s="350">
        <v>2184</v>
      </c>
      <c r="I1469" s="467"/>
      <c r="J1469" s="467"/>
      <c r="K1469" s="467"/>
      <c r="L1469" s="467">
        <v>4.2</v>
      </c>
      <c r="M1469" s="467"/>
      <c r="N1469" s="340"/>
    </row>
    <row r="1470" spans="1:14" ht="10.5" customHeight="1">
      <c r="A1470" s="412"/>
      <c r="B1470" s="405"/>
      <c r="C1470" s="348"/>
      <c r="D1470" s="417"/>
      <c r="E1470" s="211">
        <f>E1471</f>
        <v>471</v>
      </c>
      <c r="F1470" s="41">
        <v>2</v>
      </c>
      <c r="G1470" s="350"/>
      <c r="H1470" s="350"/>
      <c r="I1470" s="467"/>
      <c r="J1470" s="467"/>
      <c r="K1470" s="467"/>
      <c r="L1470" s="467"/>
      <c r="M1470" s="467"/>
      <c r="N1470" s="340"/>
    </row>
    <row r="1471" spans="1:14" ht="10.5" customHeight="1">
      <c r="A1471" s="412"/>
      <c r="B1471" s="405"/>
      <c r="C1471" s="348"/>
      <c r="D1471" s="417"/>
      <c r="E1471" s="211">
        <v>471</v>
      </c>
      <c r="F1471" s="41" t="s">
        <v>258</v>
      </c>
      <c r="G1471" s="350"/>
      <c r="H1471" s="350"/>
      <c r="I1471" s="467"/>
      <c r="J1471" s="467"/>
      <c r="K1471" s="467"/>
      <c r="L1471" s="467"/>
      <c r="M1471" s="467"/>
      <c r="N1471" s="340"/>
    </row>
    <row r="1472" spans="1:14" ht="10.5" customHeight="1">
      <c r="A1472" s="412"/>
      <c r="B1472" s="405"/>
      <c r="C1472" s="348"/>
      <c r="D1472" s="417"/>
      <c r="E1472" s="211">
        <f>E1469+E1470</f>
        <v>1570</v>
      </c>
      <c r="F1472" s="41">
        <v>5</v>
      </c>
      <c r="G1472" s="350"/>
      <c r="H1472" s="350"/>
      <c r="I1472" s="467"/>
      <c r="J1472" s="467"/>
      <c r="K1472" s="467"/>
      <c r="L1472" s="467"/>
      <c r="M1472" s="467"/>
      <c r="N1472" s="340"/>
    </row>
    <row r="1473" spans="1:14" ht="10.5" customHeight="1">
      <c r="A1473" s="412"/>
      <c r="B1473" s="405"/>
      <c r="C1473" s="348"/>
      <c r="D1473" s="417">
        <v>2015</v>
      </c>
      <c r="E1473" s="211">
        <v>910</v>
      </c>
      <c r="F1473" s="41">
        <v>1</v>
      </c>
      <c r="G1473" s="350">
        <v>1.29</v>
      </c>
      <c r="H1473" s="350">
        <v>1913.6</v>
      </c>
      <c r="I1473" s="467"/>
      <c r="J1473" s="467"/>
      <c r="K1473" s="467"/>
      <c r="L1473" s="467">
        <v>3.68</v>
      </c>
      <c r="M1473" s="467"/>
      <c r="N1473" s="340"/>
    </row>
    <row r="1474" spans="1:14" ht="10.5" customHeight="1">
      <c r="A1474" s="412"/>
      <c r="B1474" s="405"/>
      <c r="C1474" s="348"/>
      <c r="D1474" s="417"/>
      <c r="E1474" s="211">
        <f>E1475</f>
        <v>390</v>
      </c>
      <c r="F1474" s="41">
        <v>2</v>
      </c>
      <c r="G1474" s="350"/>
      <c r="H1474" s="350"/>
      <c r="I1474" s="467"/>
      <c r="J1474" s="467"/>
      <c r="K1474" s="467"/>
      <c r="L1474" s="467"/>
      <c r="M1474" s="467"/>
      <c r="N1474" s="340"/>
    </row>
    <row r="1475" spans="1:14" ht="9.75" customHeight="1">
      <c r="A1475" s="412"/>
      <c r="B1475" s="405"/>
      <c r="C1475" s="348"/>
      <c r="D1475" s="417"/>
      <c r="E1475" s="211">
        <v>390</v>
      </c>
      <c r="F1475" s="41" t="s">
        <v>258</v>
      </c>
      <c r="G1475" s="350"/>
      <c r="H1475" s="350"/>
      <c r="I1475" s="467"/>
      <c r="J1475" s="467"/>
      <c r="K1475" s="467"/>
      <c r="L1475" s="467"/>
      <c r="M1475" s="467"/>
      <c r="N1475" s="340"/>
    </row>
    <row r="1476" spans="1:14" ht="10.5" customHeight="1">
      <c r="A1476" s="419"/>
      <c r="B1476" s="406"/>
      <c r="C1476" s="349"/>
      <c r="D1476" s="417"/>
      <c r="E1476" s="211">
        <f>E1473+E1474</f>
        <v>1300</v>
      </c>
      <c r="F1476" s="41">
        <v>5</v>
      </c>
      <c r="G1476" s="350"/>
      <c r="H1476" s="350"/>
      <c r="I1476" s="467"/>
      <c r="J1476" s="467"/>
      <c r="K1476" s="467"/>
      <c r="L1476" s="467"/>
      <c r="M1476" s="467"/>
      <c r="N1476" s="340"/>
    </row>
    <row r="1477" spans="1:14" ht="10.5" customHeight="1">
      <c r="A1477" s="411">
        <v>146</v>
      </c>
      <c r="B1477" s="404" t="s">
        <v>263</v>
      </c>
      <c r="C1477" s="373" t="s">
        <v>264</v>
      </c>
      <c r="D1477" s="403" t="s">
        <v>158</v>
      </c>
      <c r="E1477" s="211">
        <f>SUM(E1481+E1485+E1489+E1493+E1497)</f>
        <v>16874.55</v>
      </c>
      <c r="F1477" s="41">
        <v>1</v>
      </c>
      <c r="G1477" s="350">
        <f>SUM(G1481:G1500)</f>
        <v>17.21</v>
      </c>
      <c r="H1477" s="350">
        <f>SUM(H1481:H1500)</f>
        <v>25475</v>
      </c>
      <c r="I1477" s="467"/>
      <c r="J1477" s="467"/>
      <c r="K1477" s="467"/>
      <c r="L1477" s="467">
        <f>SUM(L1481:L1500)</f>
        <v>48.99</v>
      </c>
      <c r="M1477" s="467"/>
      <c r="N1477" s="340"/>
    </row>
    <row r="1478" spans="1:14" ht="10.5" customHeight="1">
      <c r="A1478" s="412"/>
      <c r="B1478" s="405"/>
      <c r="C1478" s="408"/>
      <c r="D1478" s="403"/>
      <c r="E1478" s="211">
        <f>SUM(E1482+E1486+E1490+E1494+E1498)</f>
        <v>76408.02</v>
      </c>
      <c r="F1478" s="41" t="s">
        <v>258</v>
      </c>
      <c r="G1478" s="350"/>
      <c r="H1478" s="350"/>
      <c r="I1478" s="467"/>
      <c r="J1478" s="467"/>
      <c r="K1478" s="467"/>
      <c r="L1478" s="467"/>
      <c r="M1478" s="467"/>
      <c r="N1478" s="340"/>
    </row>
    <row r="1479" spans="1:14" ht="10.5" customHeight="1">
      <c r="A1479" s="412"/>
      <c r="B1479" s="405"/>
      <c r="C1479" s="408"/>
      <c r="D1479" s="403"/>
      <c r="E1479" s="211">
        <f>SUM(E1483+E1487+E1491+E1495+E1499)</f>
        <v>9254.279999999999</v>
      </c>
      <c r="F1479" s="41">
        <v>3</v>
      </c>
      <c r="G1479" s="350"/>
      <c r="H1479" s="350"/>
      <c r="I1479" s="467"/>
      <c r="J1479" s="467"/>
      <c r="K1479" s="467"/>
      <c r="L1479" s="467"/>
      <c r="M1479" s="467"/>
      <c r="N1479" s="340"/>
    </row>
    <row r="1480" spans="1:14" ht="11.25" customHeight="1">
      <c r="A1480" s="419"/>
      <c r="B1480" s="406"/>
      <c r="C1480" s="409"/>
      <c r="D1480" s="403"/>
      <c r="E1480" s="211">
        <f>SUM(E1484+E1488+E1492+E1496+E1500)</f>
        <v>102536.85</v>
      </c>
      <c r="F1480" s="41">
        <v>5</v>
      </c>
      <c r="G1480" s="350"/>
      <c r="H1480" s="350"/>
      <c r="I1480" s="467"/>
      <c r="J1480" s="467"/>
      <c r="K1480" s="467"/>
      <c r="L1480" s="467"/>
      <c r="M1480" s="467"/>
      <c r="N1480" s="340"/>
    </row>
    <row r="1481" spans="1:14" ht="10.5" customHeight="1">
      <c r="A1481" s="411"/>
      <c r="B1481" s="404"/>
      <c r="C1481" s="32"/>
      <c r="D1481" s="419">
        <v>2011</v>
      </c>
      <c r="E1481" s="212">
        <v>3474.55</v>
      </c>
      <c r="F1481" s="30">
        <v>1</v>
      </c>
      <c r="G1481" s="493">
        <v>2.39</v>
      </c>
      <c r="H1481" s="493">
        <v>3536</v>
      </c>
      <c r="I1481" s="521"/>
      <c r="J1481" s="521"/>
      <c r="K1481" s="521"/>
      <c r="L1481" s="521">
        <v>6.8</v>
      </c>
      <c r="M1481" s="521"/>
      <c r="N1481" s="579"/>
    </row>
    <row r="1482" spans="1:14" ht="10.5" customHeight="1">
      <c r="A1482" s="394"/>
      <c r="B1482" s="353"/>
      <c r="C1482" s="34"/>
      <c r="D1482" s="417"/>
      <c r="E1482" s="211">
        <v>4650.09</v>
      </c>
      <c r="F1482" s="41" t="s">
        <v>258</v>
      </c>
      <c r="G1482" s="350"/>
      <c r="H1482" s="350"/>
      <c r="I1482" s="467"/>
      <c r="J1482" s="467"/>
      <c r="K1482" s="467"/>
      <c r="L1482" s="467"/>
      <c r="M1482" s="467"/>
      <c r="N1482" s="340"/>
    </row>
    <row r="1483" spans="1:14" ht="9.75" customHeight="1">
      <c r="A1483" s="394"/>
      <c r="B1483" s="353"/>
      <c r="C1483" s="34"/>
      <c r="D1483" s="417"/>
      <c r="E1483" s="211">
        <v>4095</v>
      </c>
      <c r="F1483" s="41">
        <v>3</v>
      </c>
      <c r="G1483" s="350"/>
      <c r="H1483" s="350"/>
      <c r="I1483" s="467"/>
      <c r="J1483" s="467"/>
      <c r="K1483" s="467"/>
      <c r="L1483" s="467"/>
      <c r="M1483" s="467"/>
      <c r="N1483" s="340"/>
    </row>
    <row r="1484" spans="1:14" ht="9.75" customHeight="1">
      <c r="A1484" s="394"/>
      <c r="B1484" s="353"/>
      <c r="C1484" s="34"/>
      <c r="D1484" s="417"/>
      <c r="E1484" s="211">
        <f>SUM(E1481:E1483)</f>
        <v>12219.64</v>
      </c>
      <c r="F1484" s="41">
        <v>5</v>
      </c>
      <c r="G1484" s="350"/>
      <c r="H1484" s="350"/>
      <c r="I1484" s="467"/>
      <c r="J1484" s="467"/>
      <c r="K1484" s="467"/>
      <c r="L1484" s="467"/>
      <c r="M1484" s="467"/>
      <c r="N1484" s="340"/>
    </row>
    <row r="1485" spans="1:14" ht="11.25" customHeight="1">
      <c r="A1485" s="394"/>
      <c r="B1485" s="353"/>
      <c r="C1485" s="34"/>
      <c r="D1485" s="417">
        <v>2012</v>
      </c>
      <c r="E1485" s="211">
        <v>1400</v>
      </c>
      <c r="F1485" s="41">
        <v>1</v>
      </c>
      <c r="G1485" s="350">
        <v>3.09</v>
      </c>
      <c r="H1485" s="350">
        <v>4576</v>
      </c>
      <c r="I1485" s="467"/>
      <c r="J1485" s="467"/>
      <c r="K1485" s="467"/>
      <c r="L1485" s="467">
        <v>8.8</v>
      </c>
      <c r="M1485" s="467"/>
      <c r="N1485" s="340"/>
    </row>
    <row r="1486" spans="1:14" ht="10.5" customHeight="1">
      <c r="A1486" s="394"/>
      <c r="B1486" s="353"/>
      <c r="C1486" s="34"/>
      <c r="D1486" s="417"/>
      <c r="E1486" s="211">
        <v>12525</v>
      </c>
      <c r="F1486" s="41" t="s">
        <v>258</v>
      </c>
      <c r="G1486" s="350"/>
      <c r="H1486" s="350"/>
      <c r="I1486" s="467"/>
      <c r="J1486" s="467"/>
      <c r="K1486" s="467"/>
      <c r="L1486" s="467"/>
      <c r="M1486" s="467"/>
      <c r="N1486" s="340"/>
    </row>
    <row r="1487" spans="1:14" ht="10.5" customHeight="1">
      <c r="A1487" s="394"/>
      <c r="B1487" s="353"/>
      <c r="C1487" s="34"/>
      <c r="D1487" s="417"/>
      <c r="E1487" s="211">
        <v>1272.5</v>
      </c>
      <c r="F1487" s="41">
        <v>3</v>
      </c>
      <c r="G1487" s="350"/>
      <c r="H1487" s="350"/>
      <c r="I1487" s="467"/>
      <c r="J1487" s="467"/>
      <c r="K1487" s="467"/>
      <c r="L1487" s="467"/>
      <c r="M1487" s="467"/>
      <c r="N1487" s="340"/>
    </row>
    <row r="1488" spans="1:14" ht="9.75" customHeight="1">
      <c r="A1488" s="394"/>
      <c r="B1488" s="353"/>
      <c r="C1488" s="34"/>
      <c r="D1488" s="417"/>
      <c r="E1488" s="211">
        <f>SUM(E1485:E1487)</f>
        <v>15197.5</v>
      </c>
      <c r="F1488" s="41">
        <v>5</v>
      </c>
      <c r="G1488" s="350"/>
      <c r="H1488" s="350"/>
      <c r="I1488" s="467"/>
      <c r="J1488" s="467"/>
      <c r="K1488" s="467"/>
      <c r="L1488" s="467"/>
      <c r="M1488" s="467"/>
      <c r="N1488" s="340"/>
    </row>
    <row r="1489" spans="1:14" ht="10.5" customHeight="1">
      <c r="A1489" s="394"/>
      <c r="B1489" s="353"/>
      <c r="C1489" s="34"/>
      <c r="D1489" s="417">
        <v>2013</v>
      </c>
      <c r="E1489" s="211">
        <v>2700</v>
      </c>
      <c r="F1489" s="41">
        <v>1</v>
      </c>
      <c r="G1489" s="350">
        <v>3.44</v>
      </c>
      <c r="H1489" s="350">
        <v>5096</v>
      </c>
      <c r="I1489" s="467"/>
      <c r="J1489" s="467"/>
      <c r="K1489" s="467"/>
      <c r="L1489" s="467">
        <v>9.8</v>
      </c>
      <c r="M1489" s="467"/>
      <c r="N1489" s="340"/>
    </row>
    <row r="1490" spans="1:14" ht="10.5" customHeight="1">
      <c r="A1490" s="394"/>
      <c r="B1490" s="353"/>
      <c r="C1490" s="34"/>
      <c r="D1490" s="417"/>
      <c r="E1490" s="211">
        <v>16195.93</v>
      </c>
      <c r="F1490" s="41" t="s">
        <v>258</v>
      </c>
      <c r="G1490" s="350"/>
      <c r="H1490" s="350"/>
      <c r="I1490" s="467"/>
      <c r="J1490" s="467"/>
      <c r="K1490" s="467"/>
      <c r="L1490" s="467"/>
      <c r="M1490" s="467"/>
      <c r="N1490" s="340"/>
    </row>
    <row r="1491" spans="1:14" ht="10.5" customHeight="1">
      <c r="A1491" s="394"/>
      <c r="B1491" s="353"/>
      <c r="C1491" s="34"/>
      <c r="D1491" s="417"/>
      <c r="E1491" s="211">
        <v>1276.78</v>
      </c>
      <c r="F1491" s="41">
        <v>3</v>
      </c>
      <c r="G1491" s="350"/>
      <c r="H1491" s="350"/>
      <c r="I1491" s="467"/>
      <c r="J1491" s="467"/>
      <c r="K1491" s="467"/>
      <c r="L1491" s="467"/>
      <c r="M1491" s="467"/>
      <c r="N1491" s="340"/>
    </row>
    <row r="1492" spans="1:14" ht="10.5" customHeight="1">
      <c r="A1492" s="394"/>
      <c r="B1492" s="353"/>
      <c r="C1492" s="34"/>
      <c r="D1492" s="417"/>
      <c r="E1492" s="211">
        <f>SUM(E1489:E1491)</f>
        <v>20172.71</v>
      </c>
      <c r="F1492" s="41">
        <v>5</v>
      </c>
      <c r="G1492" s="350"/>
      <c r="H1492" s="350"/>
      <c r="I1492" s="467"/>
      <c r="J1492" s="467"/>
      <c r="K1492" s="467"/>
      <c r="L1492" s="467"/>
      <c r="M1492" s="467"/>
      <c r="N1492" s="340"/>
    </row>
    <row r="1493" spans="1:14" ht="10.5" customHeight="1">
      <c r="A1493" s="394"/>
      <c r="B1493" s="353"/>
      <c r="C1493" s="34"/>
      <c r="D1493" s="417">
        <v>2014</v>
      </c>
      <c r="E1493" s="211">
        <v>4000</v>
      </c>
      <c r="F1493" s="41">
        <v>1</v>
      </c>
      <c r="G1493" s="350">
        <v>3.79</v>
      </c>
      <c r="H1493" s="350">
        <v>5616</v>
      </c>
      <c r="I1493" s="467"/>
      <c r="J1493" s="467"/>
      <c r="K1493" s="467"/>
      <c r="L1493" s="467">
        <v>10.8</v>
      </c>
      <c r="M1493" s="467"/>
      <c r="N1493" s="340"/>
    </row>
    <row r="1494" spans="1:14" ht="10.5" customHeight="1">
      <c r="A1494" s="394"/>
      <c r="B1494" s="353"/>
      <c r="C1494" s="34"/>
      <c r="D1494" s="417"/>
      <c r="E1494" s="211">
        <v>19746</v>
      </c>
      <c r="F1494" s="41" t="s">
        <v>258</v>
      </c>
      <c r="G1494" s="350"/>
      <c r="H1494" s="350"/>
      <c r="I1494" s="467"/>
      <c r="J1494" s="467"/>
      <c r="K1494" s="467"/>
      <c r="L1494" s="467"/>
      <c r="M1494" s="467"/>
      <c r="N1494" s="340"/>
    </row>
    <row r="1495" spans="1:14" ht="10.5" customHeight="1">
      <c r="A1495" s="394"/>
      <c r="B1495" s="353"/>
      <c r="C1495" s="34"/>
      <c r="D1495" s="417"/>
      <c r="E1495" s="211">
        <v>1300</v>
      </c>
      <c r="F1495" s="41">
        <v>3</v>
      </c>
      <c r="G1495" s="350"/>
      <c r="H1495" s="350"/>
      <c r="I1495" s="467"/>
      <c r="J1495" s="467"/>
      <c r="K1495" s="467"/>
      <c r="L1495" s="467"/>
      <c r="M1495" s="467"/>
      <c r="N1495" s="340"/>
    </row>
    <row r="1496" spans="1:14" ht="10.5" customHeight="1">
      <c r="A1496" s="394"/>
      <c r="B1496" s="353"/>
      <c r="C1496" s="34"/>
      <c r="D1496" s="417"/>
      <c r="E1496" s="211">
        <f>SUM(E1493:E1495)</f>
        <v>25046</v>
      </c>
      <c r="F1496" s="41">
        <v>5</v>
      </c>
      <c r="G1496" s="350"/>
      <c r="H1496" s="350"/>
      <c r="I1496" s="467"/>
      <c r="J1496" s="467"/>
      <c r="K1496" s="467"/>
      <c r="L1496" s="467"/>
      <c r="M1496" s="467"/>
      <c r="N1496" s="340"/>
    </row>
    <row r="1497" spans="1:14" ht="10.5" customHeight="1">
      <c r="A1497" s="394"/>
      <c r="B1497" s="353"/>
      <c r="C1497" s="34"/>
      <c r="D1497" s="417">
        <v>2015</v>
      </c>
      <c r="E1497" s="211">
        <v>5300</v>
      </c>
      <c r="F1497" s="41">
        <v>1</v>
      </c>
      <c r="G1497" s="350">
        <v>4.5</v>
      </c>
      <c r="H1497" s="350">
        <v>6651</v>
      </c>
      <c r="I1497" s="467"/>
      <c r="J1497" s="467"/>
      <c r="K1497" s="467"/>
      <c r="L1497" s="467">
        <v>12.79</v>
      </c>
      <c r="M1497" s="467"/>
      <c r="N1497" s="340"/>
    </row>
    <row r="1498" spans="1:14" ht="9.75" customHeight="1">
      <c r="A1498" s="394"/>
      <c r="B1498" s="353"/>
      <c r="C1498" s="34"/>
      <c r="D1498" s="417"/>
      <c r="E1498" s="211">
        <v>23291</v>
      </c>
      <c r="F1498" s="41" t="s">
        <v>258</v>
      </c>
      <c r="G1498" s="350"/>
      <c r="H1498" s="350"/>
      <c r="I1498" s="467"/>
      <c r="J1498" s="467"/>
      <c r="K1498" s="467"/>
      <c r="L1498" s="467"/>
      <c r="M1498" s="467"/>
      <c r="N1498" s="340"/>
    </row>
    <row r="1499" spans="1:14" ht="10.5" customHeight="1">
      <c r="A1499" s="394"/>
      <c r="B1499" s="353"/>
      <c r="C1499" s="34"/>
      <c r="D1499" s="417"/>
      <c r="E1499" s="211">
        <v>1310</v>
      </c>
      <c r="F1499" s="41">
        <v>3</v>
      </c>
      <c r="G1499" s="350"/>
      <c r="H1499" s="350"/>
      <c r="I1499" s="467"/>
      <c r="J1499" s="467"/>
      <c r="K1499" s="467"/>
      <c r="L1499" s="467"/>
      <c r="M1499" s="467"/>
      <c r="N1499" s="340"/>
    </row>
    <row r="1500" spans="1:14" ht="10.5" customHeight="1">
      <c r="A1500" s="413"/>
      <c r="B1500" s="354"/>
      <c r="C1500" s="37"/>
      <c r="D1500" s="417"/>
      <c r="E1500" s="211">
        <f>SUM(E1497:E1499)</f>
        <v>29901</v>
      </c>
      <c r="F1500" s="41">
        <v>5</v>
      </c>
      <c r="G1500" s="350"/>
      <c r="H1500" s="350"/>
      <c r="I1500" s="467"/>
      <c r="J1500" s="467"/>
      <c r="K1500" s="467"/>
      <c r="L1500" s="467"/>
      <c r="M1500" s="467"/>
      <c r="N1500" s="340"/>
    </row>
    <row r="1501" spans="1:14" ht="9.75" customHeight="1">
      <c r="A1501" s="420"/>
      <c r="B1501" s="281" t="s">
        <v>238</v>
      </c>
      <c r="C1501" s="420"/>
      <c r="D1501" s="400" t="s">
        <v>158</v>
      </c>
      <c r="E1501" s="200">
        <f>E1507+E1513+E1519+E1525+E1531</f>
        <v>3946997.16</v>
      </c>
      <c r="F1501" s="201">
        <v>1</v>
      </c>
      <c r="G1501" s="459">
        <f>G1507+G1513+G1519+G1525+G1531</f>
        <v>75.06469999999999</v>
      </c>
      <c r="H1501" s="459">
        <f aca="true" t="shared" si="8" ref="H1501:M1501">H1507+H1513+H1519+H1525+H1531</f>
        <v>111778.51999999999</v>
      </c>
      <c r="I1501" s="459"/>
      <c r="J1501" s="459"/>
      <c r="K1501" s="442">
        <f t="shared" si="8"/>
        <v>0.14700000000000002</v>
      </c>
      <c r="L1501" s="442">
        <f t="shared" si="8"/>
        <v>210.54500000000004</v>
      </c>
      <c r="M1501" s="442">
        <f t="shared" si="8"/>
        <v>4.4</v>
      </c>
      <c r="N1501" s="459"/>
    </row>
    <row r="1502" spans="1:14" ht="10.5" customHeight="1">
      <c r="A1502" s="421"/>
      <c r="B1502" s="282"/>
      <c r="C1502" s="421"/>
      <c r="D1502" s="400"/>
      <c r="E1502" s="63">
        <f>E1508+E1514+E1520+E1526+E1532</f>
        <v>358952.43</v>
      </c>
      <c r="F1502" s="133">
        <v>2</v>
      </c>
      <c r="G1502" s="389"/>
      <c r="H1502" s="389"/>
      <c r="I1502" s="389"/>
      <c r="J1502" s="389"/>
      <c r="K1502" s="442"/>
      <c r="L1502" s="442"/>
      <c r="M1502" s="442"/>
      <c r="N1502" s="389"/>
    </row>
    <row r="1503" spans="1:14" ht="10.5" customHeight="1">
      <c r="A1503" s="421"/>
      <c r="B1503" s="282"/>
      <c r="C1503" s="421"/>
      <c r="D1503" s="400"/>
      <c r="E1503" s="63">
        <f>E1509+E1515+E1521+E1527+E1533</f>
        <v>79323.26000000001</v>
      </c>
      <c r="F1503" s="133" t="s">
        <v>258</v>
      </c>
      <c r="G1503" s="389"/>
      <c r="H1503" s="389"/>
      <c r="I1503" s="389"/>
      <c r="J1503" s="389"/>
      <c r="K1503" s="442"/>
      <c r="L1503" s="442"/>
      <c r="M1503" s="442"/>
      <c r="N1503" s="389"/>
    </row>
    <row r="1504" spans="1:14" ht="9.75" customHeight="1">
      <c r="A1504" s="421"/>
      <c r="B1504" s="282"/>
      <c r="C1504" s="421"/>
      <c r="D1504" s="400"/>
      <c r="E1504" s="63">
        <f>E1510+E1516+E1522+E1528+E1534</f>
        <v>57563.17999999999</v>
      </c>
      <c r="F1504" s="133">
        <v>3</v>
      </c>
      <c r="G1504" s="389"/>
      <c r="H1504" s="389"/>
      <c r="I1504" s="389"/>
      <c r="J1504" s="389"/>
      <c r="K1504" s="442"/>
      <c r="L1504" s="442"/>
      <c r="M1504" s="442"/>
      <c r="N1504" s="389"/>
    </row>
    <row r="1505" spans="1:14" ht="10.5" customHeight="1">
      <c r="A1505" s="421"/>
      <c r="B1505" s="282"/>
      <c r="C1505" s="421"/>
      <c r="D1505" s="400"/>
      <c r="E1505" s="63">
        <f>E1511+E1517+E1523+E1529+E1535</f>
        <v>15269.05</v>
      </c>
      <c r="F1505" s="133">
        <v>4</v>
      </c>
      <c r="G1505" s="389"/>
      <c r="H1505" s="389"/>
      <c r="I1505" s="389"/>
      <c r="J1505" s="389"/>
      <c r="K1505" s="442"/>
      <c r="L1505" s="442"/>
      <c r="M1505" s="442"/>
      <c r="N1505" s="389"/>
    </row>
    <row r="1506" spans="1:14" ht="10.5" customHeight="1">
      <c r="A1506" s="421"/>
      <c r="B1506" s="282"/>
      <c r="C1506" s="421"/>
      <c r="D1506" s="400"/>
      <c r="E1506" s="63">
        <f>E1505+E1504+E1502+E1501</f>
        <v>4378781.82</v>
      </c>
      <c r="F1506" s="133">
        <v>5</v>
      </c>
      <c r="G1506" s="389"/>
      <c r="H1506" s="389"/>
      <c r="I1506" s="389"/>
      <c r="J1506" s="389"/>
      <c r="K1506" s="442"/>
      <c r="L1506" s="442"/>
      <c r="M1506" s="442"/>
      <c r="N1506" s="389"/>
    </row>
    <row r="1507" spans="1:14" ht="10.5" customHeight="1">
      <c r="A1507" s="386"/>
      <c r="B1507" s="282"/>
      <c r="C1507" s="386"/>
      <c r="D1507" s="460">
        <v>2011</v>
      </c>
      <c r="E1507" s="63">
        <f>E1481+E1457+E1452+E1446+E1437+E1417+E1384+E1375+E1355+E1322+E1300</f>
        <v>807589.99</v>
      </c>
      <c r="F1507" s="133">
        <v>1</v>
      </c>
      <c r="G1507" s="459">
        <f>G1481+G1457+G1452+G1446+G1437+G1417+G1384+G1375+G1355+G1322</f>
        <v>17.76</v>
      </c>
      <c r="H1507" s="459">
        <f>H1481+H1457+H1452+H1446+H1437+H1417+H1384+H1375+H1355+H1322+H1300</f>
        <v>27172.35</v>
      </c>
      <c r="I1507" s="389"/>
      <c r="J1507" s="340"/>
      <c r="K1507" s="340"/>
      <c r="L1507" s="340">
        <f>L1481+L1457+L1452+L1446+L1437+L1417+L1384+L1375+L1355+L1322+L1300</f>
        <v>50.587</v>
      </c>
      <c r="M1507" s="340"/>
      <c r="N1507" s="340"/>
    </row>
    <row r="1508" spans="1:14" ht="9.75" customHeight="1">
      <c r="A1508" s="386"/>
      <c r="B1508" s="282"/>
      <c r="C1508" s="386"/>
      <c r="D1508" s="460"/>
      <c r="E1508" s="63">
        <f>E1385+E1376+E1356+E1301</f>
        <v>57246.9</v>
      </c>
      <c r="F1508" s="133">
        <v>2</v>
      </c>
      <c r="G1508" s="389"/>
      <c r="H1508" s="389"/>
      <c r="I1508" s="389"/>
      <c r="J1508" s="340"/>
      <c r="K1508" s="340"/>
      <c r="L1508" s="340"/>
      <c r="M1508" s="340"/>
      <c r="N1508" s="340"/>
    </row>
    <row r="1509" spans="1:14" ht="9.75" customHeight="1">
      <c r="A1509" s="386"/>
      <c r="B1509" s="282"/>
      <c r="C1509" s="386"/>
      <c r="D1509" s="460"/>
      <c r="E1509" s="63">
        <f>E1482+E1459</f>
        <v>5246.33</v>
      </c>
      <c r="F1509" s="133" t="s">
        <v>258</v>
      </c>
      <c r="G1509" s="389"/>
      <c r="H1509" s="389"/>
      <c r="I1509" s="389"/>
      <c r="J1509" s="340"/>
      <c r="K1509" s="340"/>
      <c r="L1509" s="340"/>
      <c r="M1509" s="340"/>
      <c r="N1509" s="340"/>
    </row>
    <row r="1510" spans="1:14" ht="10.5" customHeight="1">
      <c r="A1510" s="386"/>
      <c r="B1510" s="282"/>
      <c r="C1510" s="386"/>
      <c r="D1510" s="460"/>
      <c r="E1510" s="63">
        <f>E1483+E1418+E1386+E1377+E1357+E1323+E1302</f>
        <v>13352.1</v>
      </c>
      <c r="F1510" s="133">
        <v>3</v>
      </c>
      <c r="G1510" s="389"/>
      <c r="H1510" s="389"/>
      <c r="I1510" s="389"/>
      <c r="J1510" s="340"/>
      <c r="K1510" s="340"/>
      <c r="L1510" s="340"/>
      <c r="M1510" s="340"/>
      <c r="N1510" s="340"/>
    </row>
    <row r="1511" spans="1:14" ht="9.75" customHeight="1">
      <c r="A1511" s="386"/>
      <c r="B1511" s="282"/>
      <c r="C1511" s="386"/>
      <c r="D1511" s="460"/>
      <c r="E1511" s="63">
        <f>E1387</f>
        <v>2191.3</v>
      </c>
      <c r="F1511" s="133">
        <v>4</v>
      </c>
      <c r="G1511" s="389"/>
      <c r="H1511" s="389"/>
      <c r="I1511" s="389"/>
      <c r="J1511" s="340"/>
      <c r="K1511" s="340"/>
      <c r="L1511" s="340"/>
      <c r="M1511" s="340"/>
      <c r="N1511" s="340"/>
    </row>
    <row r="1512" spans="1:14" ht="10.5" customHeight="1">
      <c r="A1512" s="386"/>
      <c r="B1512" s="282"/>
      <c r="C1512" s="386"/>
      <c r="D1512" s="460"/>
      <c r="E1512" s="63">
        <f>E1511+E1510+E1508+E1507</f>
        <v>880380.29</v>
      </c>
      <c r="F1512" s="133">
        <v>5</v>
      </c>
      <c r="G1512" s="389"/>
      <c r="H1512" s="389"/>
      <c r="I1512" s="389"/>
      <c r="J1512" s="340"/>
      <c r="K1512" s="340"/>
      <c r="L1512" s="340"/>
      <c r="M1512" s="340"/>
      <c r="N1512" s="340"/>
    </row>
    <row r="1513" spans="1:14" ht="9.75" customHeight="1">
      <c r="A1513" s="386"/>
      <c r="B1513" s="282"/>
      <c r="C1513" s="386"/>
      <c r="D1513" s="460">
        <v>2012</v>
      </c>
      <c r="E1513" s="63">
        <f>E1304+E1325+E1359+E1389+E1420+E1438+E1447+E1461+E1485</f>
        <v>759838.6399999999</v>
      </c>
      <c r="F1513" s="133">
        <v>1</v>
      </c>
      <c r="G1513" s="459">
        <f>G1485+G1461+G1447+G1438+G1420+G1389+G1359+G1345+G1325</f>
        <v>12.769999999999996</v>
      </c>
      <c r="H1513" s="459">
        <f>H1485+H1461+H1447+H1438+H1420+H1389+H1359+H1345+H1325+H1304</f>
        <v>19541.189999999995</v>
      </c>
      <c r="I1513" s="389"/>
      <c r="J1513" s="340"/>
      <c r="K1513" s="340">
        <f>K1345</f>
        <v>0.047</v>
      </c>
      <c r="L1513" s="340">
        <f>L1485+L1461+L1447+L1438+L1420+L1389+L1359+L1325+L1304</f>
        <v>36.322</v>
      </c>
      <c r="M1513" s="340"/>
      <c r="N1513" s="340"/>
    </row>
    <row r="1514" spans="1:14" ht="9.75" customHeight="1">
      <c r="A1514" s="386"/>
      <c r="B1514" s="282"/>
      <c r="C1514" s="386"/>
      <c r="D1514" s="460"/>
      <c r="E1514" s="63">
        <f>E1326+E1345+E1360+E1390+E1421+E1448+E1462+E1486</f>
        <v>69855.4</v>
      </c>
      <c r="F1514" s="133">
        <v>2</v>
      </c>
      <c r="G1514" s="389"/>
      <c r="H1514" s="389"/>
      <c r="I1514" s="389"/>
      <c r="J1514" s="340"/>
      <c r="K1514" s="340"/>
      <c r="L1514" s="340"/>
      <c r="M1514" s="340"/>
      <c r="N1514" s="340"/>
    </row>
    <row r="1515" spans="1:14" ht="9.75" customHeight="1">
      <c r="A1515" s="386"/>
      <c r="B1515" s="282"/>
      <c r="C1515" s="386"/>
      <c r="D1515" s="460"/>
      <c r="E1515" s="63">
        <f>E1486+E1463+E1449</f>
        <v>13407</v>
      </c>
      <c r="F1515" s="133" t="s">
        <v>258</v>
      </c>
      <c r="G1515" s="389"/>
      <c r="H1515" s="389"/>
      <c r="I1515" s="389"/>
      <c r="J1515" s="340"/>
      <c r="K1515" s="340"/>
      <c r="L1515" s="340"/>
      <c r="M1515" s="340"/>
      <c r="N1515" s="340"/>
    </row>
    <row r="1516" spans="1:14" ht="10.5" customHeight="1">
      <c r="A1516" s="386"/>
      <c r="B1516" s="282"/>
      <c r="C1516" s="386"/>
      <c r="D1516" s="460"/>
      <c r="E1516" s="63">
        <f>E1487+E1422+E1391+E1361+E1327+E1305</f>
        <v>10793.3</v>
      </c>
      <c r="F1516" s="133">
        <v>3</v>
      </c>
      <c r="G1516" s="389"/>
      <c r="H1516" s="389"/>
      <c r="I1516" s="389"/>
      <c r="J1516" s="340"/>
      <c r="K1516" s="340"/>
      <c r="L1516" s="340"/>
      <c r="M1516" s="340"/>
      <c r="N1516" s="340"/>
    </row>
    <row r="1517" spans="1:14" ht="10.5" customHeight="1">
      <c r="A1517" s="386"/>
      <c r="B1517" s="282"/>
      <c r="C1517" s="386"/>
      <c r="D1517" s="460"/>
      <c r="E1517" s="63">
        <f>E1392+E1346</f>
        <v>2341.3</v>
      </c>
      <c r="F1517" s="133">
        <v>4</v>
      </c>
      <c r="G1517" s="389"/>
      <c r="H1517" s="389"/>
      <c r="I1517" s="389"/>
      <c r="J1517" s="340"/>
      <c r="K1517" s="340"/>
      <c r="L1517" s="340"/>
      <c r="M1517" s="340"/>
      <c r="N1517" s="340"/>
    </row>
    <row r="1518" spans="1:14" ht="10.5" customHeight="1">
      <c r="A1518" s="386"/>
      <c r="B1518" s="282"/>
      <c r="C1518" s="386"/>
      <c r="D1518" s="460"/>
      <c r="E1518" s="63">
        <f>E1513+E1514+E1516+E1517</f>
        <v>842828.64</v>
      </c>
      <c r="F1518" s="133">
        <v>5</v>
      </c>
      <c r="G1518" s="389"/>
      <c r="H1518" s="389"/>
      <c r="I1518" s="389"/>
      <c r="J1518" s="340"/>
      <c r="K1518" s="340"/>
      <c r="L1518" s="340"/>
      <c r="M1518" s="340"/>
      <c r="N1518" s="340"/>
    </row>
    <row r="1519" spans="1:14" ht="9.75" customHeight="1">
      <c r="A1519" s="386"/>
      <c r="B1519" s="282"/>
      <c r="C1519" s="386"/>
      <c r="D1519" s="460">
        <v>2013</v>
      </c>
      <c r="E1519" s="63">
        <f>E1489+E1465+E1451+E1439+E1424+E1409+E1394+E1363+E1348+E1341+E1329+E1307</f>
        <v>808998.67</v>
      </c>
      <c r="F1519" s="133">
        <v>1</v>
      </c>
      <c r="G1519" s="459">
        <f>G1489+G1465+G1451+G1439+G1424+G1409+G1394+G1363+G1348+G1341+G1329</f>
        <v>16.834699999999998</v>
      </c>
      <c r="H1519" s="459">
        <f>H1489+H1465+H1451+H1439+H1424+H1409+H1394+H1363+H1348+H1341+H1329+H1307</f>
        <v>23525.119999999995</v>
      </c>
      <c r="I1519" s="389"/>
      <c r="J1519" s="340"/>
      <c r="K1519" s="340">
        <f>K1341</f>
        <v>0.1</v>
      </c>
      <c r="L1519" s="340">
        <f>L1489+L1465+L1451+L1439+L1424+L1409+L1394+L1363+L1329+L1307</f>
        <v>46.06100000000001</v>
      </c>
      <c r="M1519" s="340">
        <f>M1409+M1348</f>
        <v>4.4</v>
      </c>
      <c r="N1519" s="340"/>
    </row>
    <row r="1520" spans="1:14" ht="9.75" customHeight="1">
      <c r="A1520" s="386"/>
      <c r="B1520" s="282"/>
      <c r="C1520" s="386"/>
      <c r="D1520" s="460"/>
      <c r="E1520" s="63">
        <f>E1330+E1349+E1364+E1395+E1410+E1425+E1466+E1490</f>
        <v>74978.73000000001</v>
      </c>
      <c r="F1520" s="133">
        <v>2</v>
      </c>
      <c r="G1520" s="389"/>
      <c r="H1520" s="389"/>
      <c r="I1520" s="389"/>
      <c r="J1520" s="340"/>
      <c r="K1520" s="340"/>
      <c r="L1520" s="340"/>
      <c r="M1520" s="340"/>
      <c r="N1520" s="340"/>
    </row>
    <row r="1521" spans="1:14" ht="10.5" customHeight="1">
      <c r="A1521" s="386"/>
      <c r="B1521" s="282"/>
      <c r="C1521" s="386"/>
      <c r="D1521" s="460"/>
      <c r="E1521" s="63">
        <f>E1490+E1467</f>
        <v>16771.93</v>
      </c>
      <c r="F1521" s="133" t="s">
        <v>258</v>
      </c>
      <c r="G1521" s="389"/>
      <c r="H1521" s="389"/>
      <c r="I1521" s="389"/>
      <c r="J1521" s="340"/>
      <c r="K1521" s="340"/>
      <c r="L1521" s="340"/>
      <c r="M1521" s="340"/>
      <c r="N1521" s="340"/>
    </row>
    <row r="1522" spans="1:14" ht="10.5" customHeight="1">
      <c r="A1522" s="386"/>
      <c r="B1522" s="282"/>
      <c r="C1522" s="386"/>
      <c r="D1522" s="460"/>
      <c r="E1522" s="63">
        <f>E1491+E1426+E1411+E1396+E1365+E1342+E1331+E1308</f>
        <v>12381.38</v>
      </c>
      <c r="F1522" s="133">
        <v>3</v>
      </c>
      <c r="G1522" s="389"/>
      <c r="H1522" s="389"/>
      <c r="I1522" s="389"/>
      <c r="J1522" s="340"/>
      <c r="K1522" s="340"/>
      <c r="L1522" s="340"/>
      <c r="M1522" s="340"/>
      <c r="N1522" s="340"/>
    </row>
    <row r="1523" spans="1:14" ht="10.5" customHeight="1">
      <c r="A1523" s="386"/>
      <c r="B1523" s="282"/>
      <c r="C1523" s="386"/>
      <c r="D1523" s="460"/>
      <c r="E1523" s="63">
        <f>E1397+E1343+E1309</f>
        <v>6353.85</v>
      </c>
      <c r="F1523" s="133">
        <v>4</v>
      </c>
      <c r="G1523" s="389"/>
      <c r="H1523" s="389"/>
      <c r="I1523" s="389"/>
      <c r="J1523" s="340"/>
      <c r="K1523" s="340"/>
      <c r="L1523" s="340"/>
      <c r="M1523" s="340"/>
      <c r="N1523" s="340"/>
    </row>
    <row r="1524" spans="1:14" ht="10.5" customHeight="1">
      <c r="A1524" s="386"/>
      <c r="B1524" s="282"/>
      <c r="C1524" s="386"/>
      <c r="D1524" s="460"/>
      <c r="E1524" s="63">
        <f>E1523+E1522+E1520+E1519</f>
        <v>902712.63</v>
      </c>
      <c r="F1524" s="133">
        <v>5</v>
      </c>
      <c r="G1524" s="389"/>
      <c r="H1524" s="389"/>
      <c r="I1524" s="389"/>
      <c r="J1524" s="340"/>
      <c r="K1524" s="340"/>
      <c r="L1524" s="340"/>
      <c r="M1524" s="340"/>
      <c r="N1524" s="340"/>
    </row>
    <row r="1525" spans="1:14" ht="11.25" customHeight="1">
      <c r="A1525" s="386"/>
      <c r="B1525" s="282"/>
      <c r="C1525" s="386"/>
      <c r="D1525" s="460">
        <v>2014</v>
      </c>
      <c r="E1525" s="63">
        <f>E1493+E1469+E1440+E1428+E1399+E1367+E1333+E1311</f>
        <v>788931.43</v>
      </c>
      <c r="F1525" s="133">
        <v>1</v>
      </c>
      <c r="G1525" s="459">
        <f>G1493+G1469+G1440+G1428+G1399+G1367+G1333</f>
        <v>13.16</v>
      </c>
      <c r="H1525" s="459">
        <f>H1493+H1469+H1440+H1428+H1399+H1367+H1333+H1311</f>
        <v>19754.529999999995</v>
      </c>
      <c r="I1525" s="389"/>
      <c r="J1525" s="340"/>
      <c r="K1525" s="340"/>
      <c r="L1525" s="340">
        <f>L1493+L1469+L1440+L1428+L1399+L1367+L1333+L1311</f>
        <v>36.83500000000001</v>
      </c>
      <c r="M1525" s="340"/>
      <c r="N1525" s="340"/>
    </row>
    <row r="1526" spans="1:14" ht="10.5" customHeight="1">
      <c r="A1526" s="386"/>
      <c r="B1526" s="282"/>
      <c r="C1526" s="386"/>
      <c r="D1526" s="460"/>
      <c r="E1526" s="63">
        <f>E1312+E1334+E1368+E1400+E1429+E1470+E1494</f>
        <v>76943.70000000001</v>
      </c>
      <c r="F1526" s="133">
        <v>2</v>
      </c>
      <c r="G1526" s="389"/>
      <c r="H1526" s="389"/>
      <c r="I1526" s="389"/>
      <c r="J1526" s="340"/>
      <c r="K1526" s="340"/>
      <c r="L1526" s="340"/>
      <c r="M1526" s="340"/>
      <c r="N1526" s="340"/>
    </row>
    <row r="1527" spans="1:14" ht="11.25" customHeight="1">
      <c r="A1527" s="386"/>
      <c r="B1527" s="282"/>
      <c r="C1527" s="386"/>
      <c r="D1527" s="460"/>
      <c r="E1527" s="63">
        <f>E1494+E1471</f>
        <v>20217</v>
      </c>
      <c r="F1527" s="133" t="s">
        <v>258</v>
      </c>
      <c r="G1527" s="389"/>
      <c r="H1527" s="389"/>
      <c r="I1527" s="389"/>
      <c r="J1527" s="340"/>
      <c r="K1527" s="340"/>
      <c r="L1527" s="340"/>
      <c r="M1527" s="340"/>
      <c r="N1527" s="340"/>
    </row>
    <row r="1528" spans="1:14" ht="10.5" customHeight="1">
      <c r="A1528" s="386"/>
      <c r="B1528" s="282"/>
      <c r="C1528" s="386"/>
      <c r="D1528" s="460"/>
      <c r="E1528" s="63">
        <f>E1495+E1430+E1401+E1369+E1335+E1313</f>
        <v>10738.199999999999</v>
      </c>
      <c r="F1528" s="133">
        <v>3</v>
      </c>
      <c r="G1528" s="389"/>
      <c r="H1528" s="389"/>
      <c r="I1528" s="389"/>
      <c r="J1528" s="340"/>
      <c r="K1528" s="340"/>
      <c r="L1528" s="340"/>
      <c r="M1528" s="340"/>
      <c r="N1528" s="340"/>
    </row>
    <row r="1529" spans="1:14" ht="10.5" customHeight="1">
      <c r="A1529" s="386"/>
      <c r="B1529" s="282"/>
      <c r="C1529" s="386"/>
      <c r="D1529" s="460"/>
      <c r="E1529" s="63">
        <f>E1402</f>
        <v>2191.3</v>
      </c>
      <c r="F1529" s="133">
        <v>4</v>
      </c>
      <c r="G1529" s="389"/>
      <c r="H1529" s="389"/>
      <c r="I1529" s="389"/>
      <c r="J1529" s="340"/>
      <c r="K1529" s="340"/>
      <c r="L1529" s="340"/>
      <c r="M1529" s="340"/>
      <c r="N1529" s="340"/>
    </row>
    <row r="1530" spans="1:14" ht="9.75" customHeight="1">
      <c r="A1530" s="386"/>
      <c r="B1530" s="282"/>
      <c r="C1530" s="386"/>
      <c r="D1530" s="460"/>
      <c r="E1530" s="63">
        <f>E1529+E1528+E1526+E1525</f>
        <v>878804.6300000001</v>
      </c>
      <c r="F1530" s="133">
        <v>5</v>
      </c>
      <c r="G1530" s="389"/>
      <c r="H1530" s="389"/>
      <c r="I1530" s="389"/>
      <c r="J1530" s="340"/>
      <c r="K1530" s="340"/>
      <c r="L1530" s="340"/>
      <c r="M1530" s="340"/>
      <c r="N1530" s="340"/>
    </row>
    <row r="1531" spans="1:14" ht="9.75" customHeight="1">
      <c r="A1531" s="386"/>
      <c r="B1531" s="282"/>
      <c r="C1531" s="386"/>
      <c r="D1531" s="460">
        <v>2015</v>
      </c>
      <c r="E1531" s="63">
        <f>E1497+E1473+E1441+E1432+E1404+E1371+E1337+E1315</f>
        <v>781638.43</v>
      </c>
      <c r="F1531" s="133">
        <v>1</v>
      </c>
      <c r="G1531" s="459">
        <f>G1497+G1473+G1441+G1432+G1404+G1337+G1371</f>
        <v>14.54</v>
      </c>
      <c r="H1531" s="459">
        <f>H1497+H1473+H1441+H1432+H1404+H1371+H1337+H1315</f>
        <v>21785.329999999994</v>
      </c>
      <c r="I1531" s="389"/>
      <c r="J1531" s="340"/>
      <c r="K1531" s="340"/>
      <c r="L1531" s="340">
        <f>L1497+L1473+L1441+L1432+L1404+L1371+L1337+L1315</f>
        <v>40.74000000000001</v>
      </c>
      <c r="M1531" s="340"/>
      <c r="N1531" s="340"/>
    </row>
    <row r="1532" spans="1:14" ht="9.75" customHeight="1">
      <c r="A1532" s="386"/>
      <c r="B1532" s="282"/>
      <c r="C1532" s="386"/>
      <c r="D1532" s="460"/>
      <c r="E1532" s="63">
        <f>E1338+E1372+E1405+E1433+E1474+E1498</f>
        <v>79927.70000000001</v>
      </c>
      <c r="F1532" s="133">
        <v>2</v>
      </c>
      <c r="G1532" s="389"/>
      <c r="H1532" s="389"/>
      <c r="I1532" s="389"/>
      <c r="J1532" s="340"/>
      <c r="K1532" s="340"/>
      <c r="L1532" s="340"/>
      <c r="M1532" s="340"/>
      <c r="N1532" s="340"/>
    </row>
    <row r="1533" spans="1:14" ht="10.5" customHeight="1">
      <c r="A1533" s="386"/>
      <c r="B1533" s="282"/>
      <c r="C1533" s="386"/>
      <c r="D1533" s="460"/>
      <c r="E1533" s="63">
        <f>E1498+E1475</f>
        <v>23681</v>
      </c>
      <c r="F1533" s="133" t="s">
        <v>258</v>
      </c>
      <c r="G1533" s="389"/>
      <c r="H1533" s="389"/>
      <c r="I1533" s="389"/>
      <c r="J1533" s="340"/>
      <c r="K1533" s="340"/>
      <c r="L1533" s="340"/>
      <c r="M1533" s="340"/>
      <c r="N1533" s="340"/>
    </row>
    <row r="1534" spans="1:14" ht="10.5" customHeight="1">
      <c r="A1534" s="386"/>
      <c r="B1534" s="282"/>
      <c r="C1534" s="386"/>
      <c r="D1534" s="460"/>
      <c r="E1534" s="63">
        <f>E1499+E1434+E1406+E1373+E1339+E1316</f>
        <v>10298.199999999999</v>
      </c>
      <c r="F1534" s="133">
        <v>3</v>
      </c>
      <c r="G1534" s="389"/>
      <c r="H1534" s="389"/>
      <c r="I1534" s="389"/>
      <c r="J1534" s="340"/>
      <c r="K1534" s="340"/>
      <c r="L1534" s="340"/>
      <c r="M1534" s="340"/>
      <c r="N1534" s="340"/>
    </row>
    <row r="1535" spans="1:14" ht="10.5" customHeight="1">
      <c r="A1535" s="386"/>
      <c r="B1535" s="282"/>
      <c r="C1535" s="386"/>
      <c r="D1535" s="460"/>
      <c r="E1535" s="63">
        <f>E1407</f>
        <v>2191.3</v>
      </c>
      <c r="F1535" s="133">
        <v>4</v>
      </c>
      <c r="G1535" s="389"/>
      <c r="H1535" s="389"/>
      <c r="I1535" s="389"/>
      <c r="J1535" s="340"/>
      <c r="K1535" s="340"/>
      <c r="L1535" s="340"/>
      <c r="M1535" s="340"/>
      <c r="N1535" s="340"/>
    </row>
    <row r="1536" spans="1:14" ht="12" customHeight="1">
      <c r="A1536" s="387"/>
      <c r="B1536" s="283"/>
      <c r="C1536" s="387"/>
      <c r="D1536" s="460"/>
      <c r="E1536" s="63">
        <f>E1535+E1534+E1532+E1531</f>
        <v>874055.6300000001</v>
      </c>
      <c r="F1536" s="133">
        <v>5</v>
      </c>
      <c r="G1536" s="389"/>
      <c r="H1536" s="389"/>
      <c r="I1536" s="389"/>
      <c r="J1536" s="340"/>
      <c r="K1536" s="340"/>
      <c r="L1536" s="340"/>
      <c r="M1536" s="340"/>
      <c r="N1536" s="340"/>
    </row>
    <row r="1537" spans="1:14" ht="12.75" customHeight="1">
      <c r="A1537" s="285" t="s">
        <v>251</v>
      </c>
      <c r="B1537" s="285"/>
      <c r="C1537" s="285"/>
      <c r="D1537" s="285"/>
      <c r="E1537" s="285"/>
      <c r="F1537" s="285"/>
      <c r="G1537" s="285"/>
      <c r="H1537" s="285"/>
      <c r="I1537" s="285"/>
      <c r="J1537" s="285"/>
      <c r="K1537" s="285"/>
      <c r="L1537" s="285"/>
      <c r="M1537" s="285"/>
      <c r="N1537" s="285"/>
    </row>
    <row r="1538" spans="1:14" ht="12.75" customHeight="1">
      <c r="A1538" s="411">
        <v>147</v>
      </c>
      <c r="B1538" s="422" t="s">
        <v>252</v>
      </c>
      <c r="C1538" s="373" t="s">
        <v>253</v>
      </c>
      <c r="D1538" s="322" t="s">
        <v>120</v>
      </c>
      <c r="E1538" s="6">
        <f>E1542+E1546+E1550+E1554+E1558</f>
        <v>74730</v>
      </c>
      <c r="F1538" s="4">
        <v>1</v>
      </c>
      <c r="G1538" s="350">
        <f>SUM(G1542:G1561)</f>
        <v>1.3299999999999998</v>
      </c>
      <c r="H1538" s="350">
        <f>SUM(H1542:H1561)</f>
        <v>1062.9</v>
      </c>
      <c r="I1538" s="467"/>
      <c r="J1538" s="467"/>
      <c r="K1538" s="467"/>
      <c r="L1538" s="467">
        <f>SUM(L1542:L1561)</f>
        <v>4.44</v>
      </c>
      <c r="M1538" s="467"/>
      <c r="N1538" s="340"/>
    </row>
    <row r="1539" spans="1:14" ht="11.25" customHeight="1">
      <c r="A1539" s="394"/>
      <c r="B1539" s="423"/>
      <c r="C1539" s="408"/>
      <c r="D1539" s="322"/>
      <c r="E1539" s="6">
        <f>E1543+E1547+E1551+E1555+E1559</f>
        <v>351163.6</v>
      </c>
      <c r="F1539" s="4">
        <v>2</v>
      </c>
      <c r="G1539" s="350"/>
      <c r="H1539" s="350"/>
      <c r="I1539" s="467"/>
      <c r="J1539" s="467"/>
      <c r="K1539" s="467"/>
      <c r="L1539" s="467"/>
      <c r="M1539" s="467"/>
      <c r="N1539" s="340"/>
    </row>
    <row r="1540" spans="1:14" ht="12" customHeight="1">
      <c r="A1540" s="394"/>
      <c r="B1540" s="423"/>
      <c r="C1540" s="408"/>
      <c r="D1540" s="322"/>
      <c r="E1540" s="6">
        <f>E1544+E1548+E1552+E1556+E1560</f>
        <v>2504</v>
      </c>
      <c r="F1540" s="4">
        <v>3</v>
      </c>
      <c r="G1540" s="350"/>
      <c r="H1540" s="350"/>
      <c r="I1540" s="467"/>
      <c r="J1540" s="467"/>
      <c r="K1540" s="467"/>
      <c r="L1540" s="467"/>
      <c r="M1540" s="467"/>
      <c r="N1540" s="340"/>
    </row>
    <row r="1541" spans="1:14" ht="11.25" customHeight="1">
      <c r="A1541" s="394"/>
      <c r="B1541" s="423"/>
      <c r="C1541" s="408"/>
      <c r="D1541" s="322"/>
      <c r="E1541" s="6">
        <f>SUM(E1538:E1540)</f>
        <v>428397.6</v>
      </c>
      <c r="F1541" s="4">
        <v>5</v>
      </c>
      <c r="G1541" s="350"/>
      <c r="H1541" s="350"/>
      <c r="I1541" s="467"/>
      <c r="J1541" s="467"/>
      <c r="K1541" s="467"/>
      <c r="L1541" s="467"/>
      <c r="M1541" s="467"/>
      <c r="N1541" s="340"/>
    </row>
    <row r="1542" spans="1:14" ht="11.25" customHeight="1">
      <c r="A1542" s="394"/>
      <c r="B1542" s="423"/>
      <c r="C1542" s="408"/>
      <c r="D1542" s="417">
        <v>2011</v>
      </c>
      <c r="E1542" s="6">
        <v>37730</v>
      </c>
      <c r="F1542" s="4">
        <v>1</v>
      </c>
      <c r="G1542" s="350">
        <v>0.31</v>
      </c>
      <c r="H1542" s="350">
        <v>214.58</v>
      </c>
      <c r="I1542" s="467"/>
      <c r="J1542" s="467"/>
      <c r="K1542" s="467"/>
      <c r="L1542" s="467">
        <v>0.888</v>
      </c>
      <c r="M1542" s="467"/>
      <c r="N1542" s="340"/>
    </row>
    <row r="1543" spans="1:14" ht="10.5" customHeight="1">
      <c r="A1543" s="394"/>
      <c r="B1543" s="423"/>
      <c r="C1543" s="408"/>
      <c r="D1543" s="417"/>
      <c r="E1543" s="25">
        <v>43206.7</v>
      </c>
      <c r="F1543" s="4">
        <v>2</v>
      </c>
      <c r="G1543" s="350"/>
      <c r="H1543" s="350"/>
      <c r="I1543" s="467"/>
      <c r="J1543" s="467"/>
      <c r="K1543" s="467"/>
      <c r="L1543" s="467"/>
      <c r="M1543" s="467"/>
      <c r="N1543" s="340"/>
    </row>
    <row r="1544" spans="1:14" ht="11.25" customHeight="1">
      <c r="A1544" s="394"/>
      <c r="B1544" s="423"/>
      <c r="C1544" s="408"/>
      <c r="D1544" s="417"/>
      <c r="E1544" s="25">
        <v>460.8</v>
      </c>
      <c r="F1544" s="4">
        <v>3</v>
      </c>
      <c r="G1544" s="350"/>
      <c r="H1544" s="350"/>
      <c r="I1544" s="467"/>
      <c r="J1544" s="467"/>
      <c r="K1544" s="467"/>
      <c r="L1544" s="467"/>
      <c r="M1544" s="467"/>
      <c r="N1544" s="340"/>
    </row>
    <row r="1545" spans="1:14" ht="11.25" customHeight="1">
      <c r="A1545" s="394"/>
      <c r="B1545" s="423"/>
      <c r="C1545" s="408"/>
      <c r="D1545" s="417"/>
      <c r="E1545" s="25">
        <f>SUM(E1542:E1544)</f>
        <v>81397.5</v>
      </c>
      <c r="F1545" s="4">
        <v>5</v>
      </c>
      <c r="G1545" s="350"/>
      <c r="H1545" s="350"/>
      <c r="I1545" s="467"/>
      <c r="J1545" s="467"/>
      <c r="K1545" s="467"/>
      <c r="L1545" s="467"/>
      <c r="M1545" s="467"/>
      <c r="N1545" s="340"/>
    </row>
    <row r="1546" spans="1:14" ht="11.25" customHeight="1">
      <c r="A1546" s="394"/>
      <c r="B1546" s="423"/>
      <c r="C1546" s="408"/>
      <c r="D1546" s="417">
        <v>2012</v>
      </c>
      <c r="E1546" s="25">
        <v>31000</v>
      </c>
      <c r="F1546" s="4">
        <v>1</v>
      </c>
      <c r="G1546" s="350">
        <v>0.31</v>
      </c>
      <c r="H1546" s="350">
        <v>214.58</v>
      </c>
      <c r="I1546" s="467"/>
      <c r="J1546" s="467"/>
      <c r="K1546" s="467"/>
      <c r="L1546" s="467">
        <v>0.888</v>
      </c>
      <c r="M1546" s="467"/>
      <c r="N1546" s="340"/>
    </row>
    <row r="1547" spans="1:14" ht="11.25" customHeight="1">
      <c r="A1547" s="394"/>
      <c r="B1547" s="423"/>
      <c r="C1547" s="408"/>
      <c r="D1547" s="417"/>
      <c r="E1547" s="25">
        <v>36377.1</v>
      </c>
      <c r="F1547" s="4">
        <v>2</v>
      </c>
      <c r="G1547" s="350"/>
      <c r="H1547" s="350"/>
      <c r="I1547" s="467"/>
      <c r="J1547" s="467"/>
      <c r="K1547" s="467"/>
      <c r="L1547" s="467"/>
      <c r="M1547" s="467"/>
      <c r="N1547" s="340"/>
    </row>
    <row r="1548" spans="1:14" ht="11.25" customHeight="1">
      <c r="A1548" s="394"/>
      <c r="B1548" s="423"/>
      <c r="C1548" s="408"/>
      <c r="D1548" s="417"/>
      <c r="E1548" s="25">
        <v>360.8</v>
      </c>
      <c r="F1548" s="4">
        <v>3</v>
      </c>
      <c r="G1548" s="350"/>
      <c r="H1548" s="350"/>
      <c r="I1548" s="467"/>
      <c r="J1548" s="467"/>
      <c r="K1548" s="467"/>
      <c r="L1548" s="467"/>
      <c r="M1548" s="467"/>
      <c r="N1548" s="340"/>
    </row>
    <row r="1549" spans="1:14" ht="12" customHeight="1">
      <c r="A1549" s="394"/>
      <c r="B1549" s="423"/>
      <c r="C1549" s="408"/>
      <c r="D1549" s="417"/>
      <c r="E1549" s="25">
        <f>SUM(E1546:E1548)</f>
        <v>67737.90000000001</v>
      </c>
      <c r="F1549" s="4">
        <v>5</v>
      </c>
      <c r="G1549" s="350"/>
      <c r="H1549" s="350"/>
      <c r="I1549" s="467"/>
      <c r="J1549" s="467"/>
      <c r="K1549" s="467"/>
      <c r="L1549" s="467"/>
      <c r="M1549" s="467"/>
      <c r="N1549" s="340"/>
    </row>
    <row r="1550" spans="1:14" ht="11.25" customHeight="1">
      <c r="A1550" s="394"/>
      <c r="B1550" s="423"/>
      <c r="C1550" s="408"/>
      <c r="D1550" s="417">
        <v>2013</v>
      </c>
      <c r="E1550" s="25">
        <f>19850-17850</f>
        <v>2000</v>
      </c>
      <c r="F1550" s="4">
        <v>1</v>
      </c>
      <c r="G1550" s="350">
        <v>0.31</v>
      </c>
      <c r="H1550" s="350">
        <v>214.58</v>
      </c>
      <c r="I1550" s="467"/>
      <c r="J1550" s="467"/>
      <c r="K1550" s="467"/>
      <c r="L1550" s="467">
        <v>0.888</v>
      </c>
      <c r="M1550" s="467"/>
      <c r="N1550" s="340"/>
    </row>
    <row r="1551" spans="1:14" ht="11.25" customHeight="1">
      <c r="A1551" s="394"/>
      <c r="B1551" s="423"/>
      <c r="C1551" s="408"/>
      <c r="D1551" s="417"/>
      <c r="E1551" s="25">
        <v>90726.6</v>
      </c>
      <c r="F1551" s="4">
        <v>2</v>
      </c>
      <c r="G1551" s="350"/>
      <c r="H1551" s="350"/>
      <c r="I1551" s="467"/>
      <c r="J1551" s="467"/>
      <c r="K1551" s="467"/>
      <c r="L1551" s="467"/>
      <c r="M1551" s="467"/>
      <c r="N1551" s="340"/>
    </row>
    <row r="1552" spans="1:14" ht="11.25" customHeight="1">
      <c r="A1552" s="394"/>
      <c r="B1552" s="423"/>
      <c r="C1552" s="408"/>
      <c r="D1552" s="417"/>
      <c r="E1552" s="25">
        <v>760.8</v>
      </c>
      <c r="F1552" s="4">
        <v>3</v>
      </c>
      <c r="G1552" s="350"/>
      <c r="H1552" s="350"/>
      <c r="I1552" s="467"/>
      <c r="J1552" s="467"/>
      <c r="K1552" s="467"/>
      <c r="L1552" s="467"/>
      <c r="M1552" s="467"/>
      <c r="N1552" s="340"/>
    </row>
    <row r="1553" spans="1:14" ht="11.25" customHeight="1">
      <c r="A1553" s="394"/>
      <c r="B1553" s="423"/>
      <c r="C1553" s="408"/>
      <c r="D1553" s="417"/>
      <c r="E1553" s="25">
        <f>SUM(E1550:E1552)</f>
        <v>93487.40000000001</v>
      </c>
      <c r="F1553" s="4">
        <v>5</v>
      </c>
      <c r="G1553" s="350"/>
      <c r="H1553" s="350"/>
      <c r="I1553" s="467"/>
      <c r="J1553" s="467"/>
      <c r="K1553" s="467"/>
      <c r="L1553" s="467"/>
      <c r="M1553" s="467"/>
      <c r="N1553" s="340"/>
    </row>
    <row r="1554" spans="1:14" ht="10.5" customHeight="1">
      <c r="A1554" s="394"/>
      <c r="B1554" s="423"/>
      <c r="C1554" s="408"/>
      <c r="D1554" s="417">
        <v>2014</v>
      </c>
      <c r="E1554" s="25">
        <f>19850-17850</f>
        <v>2000</v>
      </c>
      <c r="F1554" s="4">
        <v>1</v>
      </c>
      <c r="G1554" s="350">
        <v>0.2</v>
      </c>
      <c r="H1554" s="350">
        <v>209.58</v>
      </c>
      <c r="I1554" s="467"/>
      <c r="J1554" s="467"/>
      <c r="K1554" s="467"/>
      <c r="L1554" s="467">
        <v>0.888</v>
      </c>
      <c r="M1554" s="467"/>
      <c r="N1554" s="340"/>
    </row>
    <row r="1555" spans="1:14" ht="10.5" customHeight="1">
      <c r="A1555" s="394"/>
      <c r="B1555" s="423"/>
      <c r="C1555" s="408"/>
      <c r="D1555" s="417"/>
      <c r="E1555" s="25">
        <v>90426.6</v>
      </c>
      <c r="F1555" s="4">
        <v>2</v>
      </c>
      <c r="G1555" s="350"/>
      <c r="H1555" s="350"/>
      <c r="I1555" s="467"/>
      <c r="J1555" s="467"/>
      <c r="K1555" s="467"/>
      <c r="L1555" s="467"/>
      <c r="M1555" s="467"/>
      <c r="N1555" s="340"/>
    </row>
    <row r="1556" spans="1:14" ht="10.5" customHeight="1">
      <c r="A1556" s="394"/>
      <c r="B1556" s="423"/>
      <c r="C1556" s="408"/>
      <c r="D1556" s="417"/>
      <c r="E1556" s="25">
        <v>460.8</v>
      </c>
      <c r="F1556" s="4">
        <v>3</v>
      </c>
      <c r="G1556" s="350"/>
      <c r="H1556" s="350"/>
      <c r="I1556" s="467"/>
      <c r="J1556" s="467"/>
      <c r="K1556" s="467"/>
      <c r="L1556" s="467"/>
      <c r="M1556" s="467"/>
      <c r="N1556" s="340"/>
    </row>
    <row r="1557" spans="1:14" ht="10.5" customHeight="1">
      <c r="A1557" s="394"/>
      <c r="B1557" s="423"/>
      <c r="C1557" s="408"/>
      <c r="D1557" s="417"/>
      <c r="E1557" s="25">
        <f>SUM(E1554:E1556)</f>
        <v>92887.40000000001</v>
      </c>
      <c r="F1557" s="4">
        <v>5</v>
      </c>
      <c r="G1557" s="350"/>
      <c r="H1557" s="350"/>
      <c r="I1557" s="467"/>
      <c r="J1557" s="467"/>
      <c r="K1557" s="467"/>
      <c r="L1557" s="467"/>
      <c r="M1557" s="467"/>
      <c r="N1557" s="340"/>
    </row>
    <row r="1558" spans="1:14" ht="11.25" customHeight="1">
      <c r="A1558" s="394"/>
      <c r="B1558" s="398"/>
      <c r="C1558" s="408"/>
      <c r="D1558" s="417">
        <v>2015</v>
      </c>
      <c r="E1558" s="25">
        <f>19850-17850</f>
        <v>2000</v>
      </c>
      <c r="F1558" s="4">
        <v>1</v>
      </c>
      <c r="G1558" s="350">
        <v>0.2</v>
      </c>
      <c r="H1558" s="350">
        <v>209.58</v>
      </c>
      <c r="I1558" s="467"/>
      <c r="J1558" s="467"/>
      <c r="K1558" s="467"/>
      <c r="L1558" s="467">
        <v>0.888</v>
      </c>
      <c r="M1558" s="467"/>
      <c r="N1558" s="340"/>
    </row>
    <row r="1559" spans="1:14" ht="10.5" customHeight="1">
      <c r="A1559" s="394"/>
      <c r="B1559" s="398"/>
      <c r="C1559" s="408"/>
      <c r="D1559" s="417"/>
      <c r="E1559" s="25">
        <v>90426.6</v>
      </c>
      <c r="F1559" s="4">
        <v>2</v>
      </c>
      <c r="G1559" s="350"/>
      <c r="H1559" s="350"/>
      <c r="I1559" s="467"/>
      <c r="J1559" s="467"/>
      <c r="K1559" s="467"/>
      <c r="L1559" s="467"/>
      <c r="M1559" s="467"/>
      <c r="N1559" s="340"/>
    </row>
    <row r="1560" spans="1:14" ht="9.75" customHeight="1">
      <c r="A1560" s="394"/>
      <c r="B1560" s="398"/>
      <c r="C1560" s="408"/>
      <c r="D1560" s="417"/>
      <c r="E1560" s="25">
        <v>460.8</v>
      </c>
      <c r="F1560" s="4">
        <v>3</v>
      </c>
      <c r="G1560" s="350"/>
      <c r="H1560" s="350"/>
      <c r="I1560" s="467"/>
      <c r="J1560" s="467"/>
      <c r="K1560" s="467"/>
      <c r="L1560" s="467"/>
      <c r="M1560" s="467"/>
      <c r="N1560" s="340"/>
    </row>
    <row r="1561" spans="1:14" ht="11.25" customHeight="1">
      <c r="A1561" s="413"/>
      <c r="B1561" s="399"/>
      <c r="C1561" s="409"/>
      <c r="D1561" s="417"/>
      <c r="E1561" s="25">
        <f>SUM(E1558:E1560)</f>
        <v>92887.40000000001</v>
      </c>
      <c r="F1561" s="4">
        <v>5</v>
      </c>
      <c r="G1561" s="350"/>
      <c r="H1561" s="350"/>
      <c r="I1561" s="467"/>
      <c r="J1561" s="467"/>
      <c r="K1561" s="467"/>
      <c r="L1561" s="467"/>
      <c r="M1561" s="467"/>
      <c r="N1561" s="340"/>
    </row>
    <row r="1562" spans="1:14" ht="12" customHeight="1">
      <c r="A1562" s="411">
        <v>148</v>
      </c>
      <c r="B1562" s="404" t="s">
        <v>254</v>
      </c>
      <c r="C1562" s="373" t="s">
        <v>257</v>
      </c>
      <c r="D1562" s="368" t="s">
        <v>120</v>
      </c>
      <c r="E1562" s="214">
        <f>E1566+E1570+E1574+E1578+E1582</f>
        <v>19071.68</v>
      </c>
      <c r="F1562" s="215">
        <v>1</v>
      </c>
      <c r="G1562" s="461">
        <f>SUM(G1566:G1585)</f>
        <v>2.91</v>
      </c>
      <c r="H1562" s="461">
        <f>SUM(H1566:H1585)</f>
        <v>5174.860000000001</v>
      </c>
      <c r="I1562" s="341"/>
      <c r="J1562" s="341"/>
      <c r="K1562" s="341"/>
      <c r="L1562" s="466">
        <f>SUM(L1566:L1585)</f>
        <v>8.553</v>
      </c>
      <c r="M1562" s="467"/>
      <c r="N1562" s="340"/>
    </row>
    <row r="1563" spans="1:14" ht="11.25" customHeight="1">
      <c r="A1563" s="412"/>
      <c r="B1563" s="405"/>
      <c r="C1563" s="348"/>
      <c r="D1563" s="368"/>
      <c r="E1563" s="214">
        <f>E1567+E1571+E1575+E1579+E1583</f>
        <v>15211.49</v>
      </c>
      <c r="F1563" s="215">
        <v>2</v>
      </c>
      <c r="G1563" s="461"/>
      <c r="H1563" s="461"/>
      <c r="I1563" s="341"/>
      <c r="J1563" s="341"/>
      <c r="K1563" s="341"/>
      <c r="L1563" s="466"/>
      <c r="M1563" s="467"/>
      <c r="N1563" s="340"/>
    </row>
    <row r="1564" spans="1:14" ht="11.25" customHeight="1">
      <c r="A1564" s="412"/>
      <c r="B1564" s="405"/>
      <c r="C1564" s="348"/>
      <c r="D1564" s="368"/>
      <c r="E1564" s="214">
        <f>E1568+E1572+E1576+E1580+E1584</f>
        <v>687.5</v>
      </c>
      <c r="F1564" s="215">
        <v>3</v>
      </c>
      <c r="G1564" s="461"/>
      <c r="H1564" s="461"/>
      <c r="I1564" s="341"/>
      <c r="J1564" s="341"/>
      <c r="K1564" s="341"/>
      <c r="L1564" s="466"/>
      <c r="M1564" s="467"/>
      <c r="N1564" s="340"/>
    </row>
    <row r="1565" spans="1:14" ht="11.25" customHeight="1">
      <c r="A1565" s="412"/>
      <c r="B1565" s="405"/>
      <c r="C1565" s="348"/>
      <c r="D1565" s="368"/>
      <c r="E1565" s="214">
        <f>E1562+E1563+E1564</f>
        <v>34970.67</v>
      </c>
      <c r="F1565" s="215">
        <v>5</v>
      </c>
      <c r="G1565" s="461"/>
      <c r="H1565" s="461"/>
      <c r="I1565" s="341"/>
      <c r="J1565" s="341"/>
      <c r="K1565" s="341"/>
      <c r="L1565" s="466"/>
      <c r="M1565" s="467"/>
      <c r="N1565" s="340"/>
    </row>
    <row r="1566" spans="1:14" ht="10.5" customHeight="1">
      <c r="A1566" s="412"/>
      <c r="B1566" s="405"/>
      <c r="C1566" s="348"/>
      <c r="D1566" s="368">
        <v>2011</v>
      </c>
      <c r="E1566" s="214">
        <f>240+105+2000+210.6+1000+1734</f>
        <v>5289.6</v>
      </c>
      <c r="F1566" s="215">
        <v>1</v>
      </c>
      <c r="G1566" s="461">
        <v>0.71</v>
      </c>
      <c r="H1566" s="461">
        <v>1154.76</v>
      </c>
      <c r="I1566" s="341"/>
      <c r="J1566" s="341"/>
      <c r="K1566" s="341"/>
      <c r="L1566" s="466">
        <v>2.083</v>
      </c>
      <c r="M1566" s="467"/>
      <c r="N1566" s="340"/>
    </row>
    <row r="1567" spans="1:14" ht="12" customHeight="1">
      <c r="A1567" s="412"/>
      <c r="B1567" s="405"/>
      <c r="C1567" s="348"/>
      <c r="D1567" s="368"/>
      <c r="E1567" s="214">
        <f>594.2+60+20+45+173.5+136+60+1+24.08+24+100+23.4+250+14.62+494+1100+306+300</f>
        <v>3725.8</v>
      </c>
      <c r="F1567" s="215">
        <v>2</v>
      </c>
      <c r="G1567" s="461"/>
      <c r="H1567" s="461"/>
      <c r="I1567" s="341"/>
      <c r="J1567" s="341"/>
      <c r="K1567" s="341"/>
      <c r="L1567" s="466"/>
      <c r="M1567" s="467"/>
      <c r="N1567" s="340"/>
    </row>
    <row r="1568" spans="1:14" ht="11.25" customHeight="1">
      <c r="A1568" s="412"/>
      <c r="B1568" s="405"/>
      <c r="C1568" s="348"/>
      <c r="D1568" s="368"/>
      <c r="E1568" s="214">
        <f>7.5+36+30+70</f>
        <v>143.5</v>
      </c>
      <c r="F1568" s="215">
        <v>3</v>
      </c>
      <c r="G1568" s="461"/>
      <c r="H1568" s="461"/>
      <c r="I1568" s="341"/>
      <c r="J1568" s="341"/>
      <c r="K1568" s="341"/>
      <c r="L1568" s="466"/>
      <c r="M1568" s="467"/>
      <c r="N1568" s="340"/>
    </row>
    <row r="1569" spans="1:14" ht="12" customHeight="1">
      <c r="A1569" s="412"/>
      <c r="B1569" s="405"/>
      <c r="C1569" s="348"/>
      <c r="D1569" s="368"/>
      <c r="E1569" s="214">
        <f>E1566+E1567+E1568</f>
        <v>9158.900000000001</v>
      </c>
      <c r="F1569" s="215">
        <v>5</v>
      </c>
      <c r="G1569" s="461"/>
      <c r="H1569" s="461"/>
      <c r="I1569" s="341"/>
      <c r="J1569" s="341"/>
      <c r="K1569" s="341"/>
      <c r="L1569" s="466"/>
      <c r="M1569" s="467"/>
      <c r="N1569" s="340"/>
    </row>
    <row r="1570" spans="1:14" ht="12" customHeight="1">
      <c r="A1570" s="412"/>
      <c r="B1570" s="398"/>
      <c r="C1570" s="348"/>
      <c r="D1570" s="368">
        <v>2012</v>
      </c>
      <c r="E1570" s="214">
        <f>240+105+1300+42.12+1000+1734</f>
        <v>4421.12</v>
      </c>
      <c r="F1570" s="215">
        <v>1</v>
      </c>
      <c r="G1570" s="461">
        <v>0.57</v>
      </c>
      <c r="H1570" s="461">
        <v>997.72</v>
      </c>
      <c r="I1570" s="341"/>
      <c r="J1570" s="341"/>
      <c r="K1570" s="341"/>
      <c r="L1570" s="466">
        <v>1.664</v>
      </c>
      <c r="M1570" s="467"/>
      <c r="N1570" s="340"/>
    </row>
    <row r="1571" spans="1:14" ht="11.25" customHeight="1">
      <c r="A1571" s="412"/>
      <c r="B1571" s="398"/>
      <c r="C1571" s="348"/>
      <c r="D1571" s="368"/>
      <c r="E1571" s="214">
        <f>60+20+45+136+60+1+9.95+24+304.68+250+14.62+427.5+1100+306+300</f>
        <v>3058.75</v>
      </c>
      <c r="F1571" s="215">
        <v>2</v>
      </c>
      <c r="G1571" s="461"/>
      <c r="H1571" s="461"/>
      <c r="I1571" s="341"/>
      <c r="J1571" s="341"/>
      <c r="K1571" s="341"/>
      <c r="L1571" s="466"/>
      <c r="M1571" s="467"/>
      <c r="N1571" s="340"/>
    </row>
    <row r="1572" spans="1:14" ht="12" customHeight="1">
      <c r="A1572" s="412"/>
      <c r="B1572" s="398"/>
      <c r="C1572" s="348"/>
      <c r="D1572" s="368"/>
      <c r="E1572" s="214">
        <f>36+30+70</f>
        <v>136</v>
      </c>
      <c r="F1572" s="215">
        <v>3</v>
      </c>
      <c r="G1572" s="461"/>
      <c r="H1572" s="461"/>
      <c r="I1572" s="341"/>
      <c r="J1572" s="341"/>
      <c r="K1572" s="341"/>
      <c r="L1572" s="466"/>
      <c r="M1572" s="467"/>
      <c r="N1572" s="340"/>
    </row>
    <row r="1573" spans="1:14" ht="11.25" customHeight="1">
      <c r="A1573" s="412"/>
      <c r="B1573" s="398"/>
      <c r="C1573" s="348"/>
      <c r="D1573" s="368"/>
      <c r="E1573" s="214">
        <f>E1570+E1571+E1572</f>
        <v>7615.87</v>
      </c>
      <c r="F1573" s="215">
        <v>5</v>
      </c>
      <c r="G1573" s="461"/>
      <c r="H1573" s="461"/>
      <c r="I1573" s="341"/>
      <c r="J1573" s="341"/>
      <c r="K1573" s="341"/>
      <c r="L1573" s="466"/>
      <c r="M1573" s="467"/>
      <c r="N1573" s="340"/>
    </row>
    <row r="1574" spans="1:14" ht="10.5" customHeight="1">
      <c r="A1574" s="412"/>
      <c r="B1574" s="398"/>
      <c r="C1574" s="348"/>
      <c r="D1574" s="368">
        <v>2013</v>
      </c>
      <c r="E1574" s="214">
        <f>240+105+42.12+1000+1734</f>
        <v>3121.12</v>
      </c>
      <c r="F1574" s="215">
        <v>1</v>
      </c>
      <c r="G1574" s="461">
        <v>0.54</v>
      </c>
      <c r="H1574" s="461">
        <v>1011.33</v>
      </c>
      <c r="I1574" s="341"/>
      <c r="J1574" s="341"/>
      <c r="K1574" s="341"/>
      <c r="L1574" s="466">
        <v>1.605</v>
      </c>
      <c r="M1574" s="467"/>
      <c r="N1574" s="340"/>
    </row>
    <row r="1575" spans="1:14" ht="10.5" customHeight="1">
      <c r="A1575" s="412"/>
      <c r="B1575" s="398"/>
      <c r="C1575" s="348"/>
      <c r="D1575" s="368"/>
      <c r="E1575" s="214">
        <f>60+20+45+136+1+26.4+24+20+4.68+250+14.62+499+1100+306+300</f>
        <v>2806.7</v>
      </c>
      <c r="F1575" s="215">
        <v>2</v>
      </c>
      <c r="G1575" s="461"/>
      <c r="H1575" s="461"/>
      <c r="I1575" s="341"/>
      <c r="J1575" s="341"/>
      <c r="K1575" s="341"/>
      <c r="L1575" s="466"/>
      <c r="M1575" s="467"/>
      <c r="N1575" s="340"/>
    </row>
    <row r="1576" spans="1:14" ht="11.25" customHeight="1">
      <c r="A1576" s="412"/>
      <c r="B1576" s="398"/>
      <c r="C1576" s="348"/>
      <c r="D1576" s="368"/>
      <c r="E1576" s="214">
        <f>36+100</f>
        <v>136</v>
      </c>
      <c r="F1576" s="215">
        <v>3</v>
      </c>
      <c r="G1576" s="461"/>
      <c r="H1576" s="461"/>
      <c r="I1576" s="341"/>
      <c r="J1576" s="341"/>
      <c r="K1576" s="341"/>
      <c r="L1576" s="466"/>
      <c r="M1576" s="467"/>
      <c r="N1576" s="340"/>
    </row>
    <row r="1577" spans="1:14" ht="11.25" customHeight="1">
      <c r="A1577" s="412"/>
      <c r="B1577" s="398"/>
      <c r="C1577" s="348"/>
      <c r="D1577" s="368"/>
      <c r="E1577" s="214">
        <f>E1574+E1575+E1576</f>
        <v>6063.82</v>
      </c>
      <c r="F1577" s="215">
        <v>5</v>
      </c>
      <c r="G1577" s="461"/>
      <c r="H1577" s="461"/>
      <c r="I1577" s="341"/>
      <c r="J1577" s="341"/>
      <c r="K1577" s="341"/>
      <c r="L1577" s="466"/>
      <c r="M1577" s="467"/>
      <c r="N1577" s="340"/>
    </row>
    <row r="1578" spans="1:14" ht="11.25" customHeight="1">
      <c r="A1578" s="412"/>
      <c r="B1578" s="398"/>
      <c r="C1578" s="348"/>
      <c r="D1578" s="368">
        <v>2014</v>
      </c>
      <c r="E1578" s="214">
        <f>240+105+42.12+1000+1734</f>
        <v>3121.12</v>
      </c>
      <c r="F1578" s="215">
        <v>1</v>
      </c>
      <c r="G1578" s="461">
        <v>0.55</v>
      </c>
      <c r="H1578" s="461">
        <v>1025.86</v>
      </c>
      <c r="I1578" s="341"/>
      <c r="J1578" s="341"/>
      <c r="K1578" s="341"/>
      <c r="L1578" s="466">
        <v>1.629</v>
      </c>
      <c r="M1578" s="467"/>
      <c r="N1578" s="340"/>
    </row>
    <row r="1579" spans="1:14" ht="11.25" customHeight="1">
      <c r="A1579" s="412"/>
      <c r="B1579" s="398"/>
      <c r="C1579" s="348"/>
      <c r="D1579" s="368"/>
      <c r="E1579" s="214">
        <f>60+20+45+136+1+19.34+24+38+4.68+250+14.62+530+1100+306+300</f>
        <v>2848.64</v>
      </c>
      <c r="F1579" s="215">
        <v>2</v>
      </c>
      <c r="G1579" s="461"/>
      <c r="H1579" s="461"/>
      <c r="I1579" s="341"/>
      <c r="J1579" s="341"/>
      <c r="K1579" s="341"/>
      <c r="L1579" s="466"/>
      <c r="M1579" s="467"/>
      <c r="N1579" s="340"/>
    </row>
    <row r="1580" spans="1:14" ht="11.25" customHeight="1">
      <c r="A1580" s="412"/>
      <c r="B1580" s="398"/>
      <c r="C1580" s="348"/>
      <c r="D1580" s="368"/>
      <c r="E1580" s="214">
        <f>36+100</f>
        <v>136</v>
      </c>
      <c r="F1580" s="215">
        <v>3</v>
      </c>
      <c r="G1580" s="461"/>
      <c r="H1580" s="461"/>
      <c r="I1580" s="341"/>
      <c r="J1580" s="341"/>
      <c r="K1580" s="341"/>
      <c r="L1580" s="466"/>
      <c r="M1580" s="467"/>
      <c r="N1580" s="340"/>
    </row>
    <row r="1581" spans="1:14" ht="11.25" customHeight="1">
      <c r="A1581" s="412"/>
      <c r="B1581" s="398"/>
      <c r="C1581" s="348"/>
      <c r="D1581" s="368"/>
      <c r="E1581" s="214">
        <f>E1578+E1579+E1580</f>
        <v>6105.76</v>
      </c>
      <c r="F1581" s="215">
        <v>5</v>
      </c>
      <c r="G1581" s="461"/>
      <c r="H1581" s="461"/>
      <c r="I1581" s="341"/>
      <c r="J1581" s="341"/>
      <c r="K1581" s="341"/>
      <c r="L1581" s="466"/>
      <c r="M1581" s="467"/>
      <c r="N1581" s="340"/>
    </row>
    <row r="1582" spans="1:14" ht="12" customHeight="1">
      <c r="A1582" s="412"/>
      <c r="B1582" s="398"/>
      <c r="C1582" s="348"/>
      <c r="D1582" s="368">
        <v>2015</v>
      </c>
      <c r="E1582" s="214">
        <f>240+105+42.12+1000+1731.6</f>
        <v>3118.72</v>
      </c>
      <c r="F1582" s="215">
        <v>1</v>
      </c>
      <c r="G1582" s="461">
        <v>0.54</v>
      </c>
      <c r="H1582" s="461">
        <v>985.19</v>
      </c>
      <c r="I1582" s="341"/>
      <c r="J1582" s="341"/>
      <c r="K1582" s="341"/>
      <c r="L1582" s="466">
        <v>1.572</v>
      </c>
      <c r="M1582" s="467"/>
      <c r="N1582" s="340"/>
    </row>
    <row r="1583" spans="1:14" ht="10.5" customHeight="1">
      <c r="A1583" s="412"/>
      <c r="B1583" s="398"/>
      <c r="C1583" s="348"/>
      <c r="D1583" s="368"/>
      <c r="E1583" s="214">
        <f>60+20+45+136+1+16.7+24+92+4.68+250+14.62+402+1100+305.6+300</f>
        <v>2771.6</v>
      </c>
      <c r="F1583" s="215">
        <v>2</v>
      </c>
      <c r="G1583" s="461"/>
      <c r="H1583" s="461"/>
      <c r="I1583" s="341"/>
      <c r="J1583" s="341"/>
      <c r="K1583" s="341"/>
      <c r="L1583" s="466"/>
      <c r="M1583" s="467"/>
      <c r="N1583" s="340"/>
    </row>
    <row r="1584" spans="1:14" ht="11.25" customHeight="1">
      <c r="A1584" s="412"/>
      <c r="B1584" s="398"/>
      <c r="C1584" s="348"/>
      <c r="D1584" s="368"/>
      <c r="E1584" s="214">
        <f>36+100</f>
        <v>136</v>
      </c>
      <c r="F1584" s="215">
        <v>3</v>
      </c>
      <c r="G1584" s="461"/>
      <c r="H1584" s="461"/>
      <c r="I1584" s="341"/>
      <c r="J1584" s="341"/>
      <c r="K1584" s="341"/>
      <c r="L1584" s="466"/>
      <c r="M1584" s="467"/>
      <c r="N1584" s="340"/>
    </row>
    <row r="1585" spans="1:14" ht="12" customHeight="1">
      <c r="A1585" s="419"/>
      <c r="B1585" s="399"/>
      <c r="C1585" s="349"/>
      <c r="D1585" s="368"/>
      <c r="E1585" s="214">
        <f>E1582+E1583+E1584</f>
        <v>6026.32</v>
      </c>
      <c r="F1585" s="215">
        <v>5</v>
      </c>
      <c r="G1585" s="461"/>
      <c r="H1585" s="461"/>
      <c r="I1585" s="341"/>
      <c r="J1585" s="341"/>
      <c r="K1585" s="341"/>
      <c r="L1585" s="466"/>
      <c r="M1585" s="467"/>
      <c r="N1585" s="340"/>
    </row>
    <row r="1586" spans="1:14" ht="10.5" customHeight="1">
      <c r="A1586" s="301"/>
      <c r="B1586" s="391" t="s">
        <v>238</v>
      </c>
      <c r="C1586" s="286"/>
      <c r="D1586" s="286" t="s">
        <v>120</v>
      </c>
      <c r="E1586" s="50">
        <f>E1590+E1594+E1598+E1602+E1606</f>
        <v>93801.68</v>
      </c>
      <c r="F1586" s="51">
        <v>1</v>
      </c>
      <c r="G1586" s="437">
        <f>G1590+G1594+G1598+G1602+G1606</f>
        <v>4.24</v>
      </c>
      <c r="H1586" s="437">
        <f>H1590+H1594+H1598+H1602+H1606</f>
        <v>6237.76</v>
      </c>
      <c r="I1586" s="340"/>
      <c r="J1586" s="340"/>
      <c r="K1586" s="340"/>
      <c r="L1586" s="340">
        <f>L1590+L1594+L1598+L1602+L1606</f>
        <v>12.992999999999999</v>
      </c>
      <c r="M1586" s="340"/>
      <c r="N1586" s="340"/>
    </row>
    <row r="1587" spans="1:14" ht="10.5" customHeight="1">
      <c r="A1587" s="280"/>
      <c r="B1587" s="392"/>
      <c r="C1587" s="577"/>
      <c r="D1587" s="577"/>
      <c r="E1587" s="50">
        <f>E1591+E1595+E1599+E1603+E1607</f>
        <v>366375.09</v>
      </c>
      <c r="F1587" s="51">
        <v>2</v>
      </c>
      <c r="G1587" s="484"/>
      <c r="H1587" s="484"/>
      <c r="I1587" s="346"/>
      <c r="J1587" s="346"/>
      <c r="K1587" s="346"/>
      <c r="L1587" s="346"/>
      <c r="M1587" s="346"/>
      <c r="N1587" s="346"/>
    </row>
    <row r="1588" spans="1:14" ht="10.5" customHeight="1">
      <c r="A1588" s="280"/>
      <c r="B1588" s="392"/>
      <c r="C1588" s="577"/>
      <c r="D1588" s="577"/>
      <c r="E1588" s="50">
        <f>E1592+E1596+E1600+E1604+E1608</f>
        <v>3191.5</v>
      </c>
      <c r="F1588" s="51">
        <v>3</v>
      </c>
      <c r="G1588" s="484"/>
      <c r="H1588" s="484"/>
      <c r="I1588" s="346"/>
      <c r="J1588" s="346"/>
      <c r="K1588" s="346"/>
      <c r="L1588" s="346"/>
      <c r="M1588" s="346"/>
      <c r="N1588" s="346"/>
    </row>
    <row r="1589" spans="1:14" ht="10.5" customHeight="1">
      <c r="A1589" s="280"/>
      <c r="B1589" s="392"/>
      <c r="C1589" s="577"/>
      <c r="D1589" s="577"/>
      <c r="E1589" s="50">
        <f>E1586+E1587+E1588</f>
        <v>463368.27</v>
      </c>
      <c r="F1589" s="51">
        <v>5</v>
      </c>
      <c r="G1589" s="484"/>
      <c r="H1589" s="484"/>
      <c r="I1589" s="346"/>
      <c r="J1589" s="346"/>
      <c r="K1589" s="346"/>
      <c r="L1589" s="346"/>
      <c r="M1589" s="346"/>
      <c r="N1589" s="346"/>
    </row>
    <row r="1590" spans="1:14" ht="10.5" customHeight="1">
      <c r="A1590" s="280"/>
      <c r="B1590" s="392"/>
      <c r="C1590" s="577"/>
      <c r="D1590" s="456">
        <v>2011</v>
      </c>
      <c r="E1590" s="50">
        <f>E1566+E1542</f>
        <v>43019.6</v>
      </c>
      <c r="F1590" s="51">
        <v>1</v>
      </c>
      <c r="G1590" s="437">
        <f>G1566+G1542</f>
        <v>1.02</v>
      </c>
      <c r="H1590" s="437">
        <f>H1566+H1542</f>
        <v>1369.34</v>
      </c>
      <c r="I1590" s="340"/>
      <c r="J1590" s="340"/>
      <c r="K1590" s="340"/>
      <c r="L1590" s="340">
        <f>L1566+L1542</f>
        <v>2.971</v>
      </c>
      <c r="M1590" s="340"/>
      <c r="N1590" s="340"/>
    </row>
    <row r="1591" spans="1:14" ht="10.5" customHeight="1">
      <c r="A1591" s="280"/>
      <c r="B1591" s="392"/>
      <c r="C1591" s="577"/>
      <c r="D1591" s="456"/>
      <c r="E1591" s="50">
        <f>E1567+E1543</f>
        <v>46932.5</v>
      </c>
      <c r="F1591" s="51">
        <v>2</v>
      </c>
      <c r="G1591" s="437"/>
      <c r="H1591" s="437"/>
      <c r="I1591" s="340"/>
      <c r="J1591" s="340"/>
      <c r="K1591" s="340"/>
      <c r="L1591" s="340"/>
      <c r="M1591" s="340"/>
      <c r="N1591" s="340"/>
    </row>
    <row r="1592" spans="1:14" ht="11.25" customHeight="1">
      <c r="A1592" s="280"/>
      <c r="B1592" s="392"/>
      <c r="C1592" s="577"/>
      <c r="D1592" s="456"/>
      <c r="E1592" s="50">
        <f>E1568+E1544</f>
        <v>604.3</v>
      </c>
      <c r="F1592" s="51">
        <v>3</v>
      </c>
      <c r="G1592" s="437"/>
      <c r="H1592" s="437"/>
      <c r="I1592" s="340"/>
      <c r="J1592" s="340"/>
      <c r="K1592" s="340"/>
      <c r="L1592" s="340"/>
      <c r="M1592" s="340"/>
      <c r="N1592" s="340"/>
    </row>
    <row r="1593" spans="1:14" ht="9" customHeight="1">
      <c r="A1593" s="280"/>
      <c r="B1593" s="392"/>
      <c r="C1593" s="577"/>
      <c r="D1593" s="456"/>
      <c r="E1593" s="50">
        <f>E1590+E1591+E1592</f>
        <v>90556.40000000001</v>
      </c>
      <c r="F1593" s="51">
        <v>5</v>
      </c>
      <c r="G1593" s="437"/>
      <c r="H1593" s="437"/>
      <c r="I1593" s="340"/>
      <c r="J1593" s="340"/>
      <c r="K1593" s="340"/>
      <c r="L1593" s="340"/>
      <c r="M1593" s="340"/>
      <c r="N1593" s="340"/>
    </row>
    <row r="1594" spans="1:14" ht="10.5" customHeight="1">
      <c r="A1594" s="280"/>
      <c r="B1594" s="392"/>
      <c r="C1594" s="577"/>
      <c r="D1594" s="456">
        <v>2012</v>
      </c>
      <c r="E1594" s="50">
        <f>E1570+E1546</f>
        <v>35421.12</v>
      </c>
      <c r="F1594" s="51">
        <v>1</v>
      </c>
      <c r="G1594" s="437">
        <f>G1570+G1546</f>
        <v>0.8799999999999999</v>
      </c>
      <c r="H1594" s="437">
        <f>H1570+H1546</f>
        <v>1212.3</v>
      </c>
      <c r="I1594" s="340"/>
      <c r="J1594" s="340"/>
      <c r="K1594" s="340"/>
      <c r="L1594" s="340">
        <f>L1570+L1546</f>
        <v>2.552</v>
      </c>
      <c r="M1594" s="340"/>
      <c r="N1594" s="340"/>
    </row>
    <row r="1595" spans="1:14" ht="9.75" customHeight="1">
      <c r="A1595" s="280"/>
      <c r="B1595" s="392"/>
      <c r="C1595" s="577"/>
      <c r="D1595" s="456"/>
      <c r="E1595" s="50">
        <f>E1571+E1547</f>
        <v>39435.85</v>
      </c>
      <c r="F1595" s="51">
        <v>2</v>
      </c>
      <c r="G1595" s="437"/>
      <c r="H1595" s="437"/>
      <c r="I1595" s="340"/>
      <c r="J1595" s="340"/>
      <c r="K1595" s="340"/>
      <c r="L1595" s="340"/>
      <c r="M1595" s="340"/>
      <c r="N1595" s="340"/>
    </row>
    <row r="1596" spans="1:14" ht="10.5" customHeight="1">
      <c r="A1596" s="280"/>
      <c r="B1596" s="392"/>
      <c r="C1596" s="577"/>
      <c r="D1596" s="456"/>
      <c r="E1596" s="50">
        <f>E1572+E1548</f>
        <v>496.8</v>
      </c>
      <c r="F1596" s="51">
        <v>3</v>
      </c>
      <c r="G1596" s="437"/>
      <c r="H1596" s="437"/>
      <c r="I1596" s="340"/>
      <c r="J1596" s="340"/>
      <c r="K1596" s="340"/>
      <c r="L1596" s="340"/>
      <c r="M1596" s="340"/>
      <c r="N1596" s="340"/>
    </row>
    <row r="1597" spans="1:14" ht="10.5" customHeight="1">
      <c r="A1597" s="280"/>
      <c r="B1597" s="392"/>
      <c r="C1597" s="577"/>
      <c r="D1597" s="456"/>
      <c r="E1597" s="50">
        <f>E1594+E1595+E1596</f>
        <v>75353.77</v>
      </c>
      <c r="F1597" s="51">
        <v>5</v>
      </c>
      <c r="G1597" s="437"/>
      <c r="H1597" s="437"/>
      <c r="I1597" s="340"/>
      <c r="J1597" s="340"/>
      <c r="K1597" s="340"/>
      <c r="L1597" s="340"/>
      <c r="M1597" s="340"/>
      <c r="N1597" s="340"/>
    </row>
    <row r="1598" spans="1:14" ht="10.5" customHeight="1">
      <c r="A1598" s="280"/>
      <c r="B1598" s="392"/>
      <c r="C1598" s="577"/>
      <c r="D1598" s="456">
        <v>2013</v>
      </c>
      <c r="E1598" s="50">
        <f>E1574+E1550</f>
        <v>5121.12</v>
      </c>
      <c r="F1598" s="51">
        <v>1</v>
      </c>
      <c r="G1598" s="437">
        <f>G1574+G1550</f>
        <v>0.8500000000000001</v>
      </c>
      <c r="H1598" s="437">
        <f>H1574+H1550</f>
        <v>1225.91</v>
      </c>
      <c r="I1598" s="340"/>
      <c r="J1598" s="340"/>
      <c r="K1598" s="340"/>
      <c r="L1598" s="340">
        <f>L1574+L1550</f>
        <v>2.493</v>
      </c>
      <c r="M1598" s="340"/>
      <c r="N1598" s="340"/>
    </row>
    <row r="1599" spans="1:14" ht="10.5" customHeight="1">
      <c r="A1599" s="280"/>
      <c r="B1599" s="392"/>
      <c r="C1599" s="577"/>
      <c r="D1599" s="456"/>
      <c r="E1599" s="50">
        <f>E1575+E1551</f>
        <v>93533.3</v>
      </c>
      <c r="F1599" s="51">
        <v>2</v>
      </c>
      <c r="G1599" s="437"/>
      <c r="H1599" s="437"/>
      <c r="I1599" s="340"/>
      <c r="J1599" s="340"/>
      <c r="K1599" s="340"/>
      <c r="L1599" s="340"/>
      <c r="M1599" s="340"/>
      <c r="N1599" s="340"/>
    </row>
    <row r="1600" spans="1:14" ht="10.5" customHeight="1">
      <c r="A1600" s="280"/>
      <c r="B1600" s="392"/>
      <c r="C1600" s="577"/>
      <c r="D1600" s="456"/>
      <c r="E1600" s="50">
        <f>E1576+E1552</f>
        <v>896.8</v>
      </c>
      <c r="F1600" s="51">
        <v>3</v>
      </c>
      <c r="G1600" s="437"/>
      <c r="H1600" s="437"/>
      <c r="I1600" s="340"/>
      <c r="J1600" s="340"/>
      <c r="K1600" s="340"/>
      <c r="L1600" s="340"/>
      <c r="M1600" s="340"/>
      <c r="N1600" s="340"/>
    </row>
    <row r="1601" spans="1:14" ht="9.75" customHeight="1">
      <c r="A1601" s="280"/>
      <c r="B1601" s="392"/>
      <c r="C1601" s="577"/>
      <c r="D1601" s="456"/>
      <c r="E1601" s="50">
        <f>E1598+E1599+E1600</f>
        <v>99551.22</v>
      </c>
      <c r="F1601" s="51">
        <v>5</v>
      </c>
      <c r="G1601" s="437"/>
      <c r="H1601" s="437"/>
      <c r="I1601" s="340"/>
      <c r="J1601" s="340"/>
      <c r="K1601" s="340"/>
      <c r="L1601" s="340"/>
      <c r="M1601" s="340"/>
      <c r="N1601" s="340"/>
    </row>
    <row r="1602" spans="1:14" ht="10.5" customHeight="1">
      <c r="A1602" s="280"/>
      <c r="B1602" s="392"/>
      <c r="C1602" s="577"/>
      <c r="D1602" s="456">
        <v>2014</v>
      </c>
      <c r="E1602" s="50">
        <f>E1578+E1554</f>
        <v>5121.12</v>
      </c>
      <c r="F1602" s="51">
        <v>1</v>
      </c>
      <c r="G1602" s="437">
        <f>G1578+G1554</f>
        <v>0.75</v>
      </c>
      <c r="H1602" s="437">
        <f>H1578+H1554</f>
        <v>1235.4399999999998</v>
      </c>
      <c r="I1602" s="340"/>
      <c r="J1602" s="340"/>
      <c r="K1602" s="340"/>
      <c r="L1602" s="340">
        <f>L1578+L1554</f>
        <v>2.517</v>
      </c>
      <c r="M1602" s="340"/>
      <c r="N1602" s="340"/>
    </row>
    <row r="1603" spans="1:14" ht="10.5" customHeight="1">
      <c r="A1603" s="280"/>
      <c r="B1603" s="392"/>
      <c r="C1603" s="577"/>
      <c r="D1603" s="456"/>
      <c r="E1603" s="50">
        <f>E1579+E1555</f>
        <v>93275.24</v>
      </c>
      <c r="F1603" s="51">
        <v>2</v>
      </c>
      <c r="G1603" s="437"/>
      <c r="H1603" s="437"/>
      <c r="I1603" s="340"/>
      <c r="J1603" s="340"/>
      <c r="K1603" s="340"/>
      <c r="L1603" s="340"/>
      <c r="M1603" s="340"/>
      <c r="N1603" s="340"/>
    </row>
    <row r="1604" spans="1:14" ht="10.5" customHeight="1">
      <c r="A1604" s="280"/>
      <c r="B1604" s="392"/>
      <c r="C1604" s="577"/>
      <c r="D1604" s="456"/>
      <c r="E1604" s="50">
        <f>E1580+E1556</f>
        <v>596.8</v>
      </c>
      <c r="F1604" s="51">
        <v>3</v>
      </c>
      <c r="G1604" s="437"/>
      <c r="H1604" s="437"/>
      <c r="I1604" s="340"/>
      <c r="J1604" s="340"/>
      <c r="K1604" s="340"/>
      <c r="L1604" s="340"/>
      <c r="M1604" s="340"/>
      <c r="N1604" s="340"/>
    </row>
    <row r="1605" spans="1:14" ht="10.5" customHeight="1">
      <c r="A1605" s="280"/>
      <c r="B1605" s="392"/>
      <c r="C1605" s="577"/>
      <c r="D1605" s="456"/>
      <c r="E1605" s="50">
        <f>E1604+E1603+E1602</f>
        <v>98993.16</v>
      </c>
      <c r="F1605" s="51">
        <v>5</v>
      </c>
      <c r="G1605" s="437"/>
      <c r="H1605" s="437"/>
      <c r="I1605" s="340"/>
      <c r="J1605" s="340"/>
      <c r="K1605" s="340"/>
      <c r="L1605" s="340"/>
      <c r="M1605" s="340"/>
      <c r="N1605" s="340"/>
    </row>
    <row r="1606" spans="1:14" ht="10.5" customHeight="1">
      <c r="A1606" s="280"/>
      <c r="B1606" s="392"/>
      <c r="C1606" s="577"/>
      <c r="D1606" s="456">
        <v>2015</v>
      </c>
      <c r="E1606" s="50">
        <f>E1582+E1558</f>
        <v>5118.719999999999</v>
      </c>
      <c r="F1606" s="51">
        <v>1</v>
      </c>
      <c r="G1606" s="437">
        <f>G1582+G1558</f>
        <v>0.74</v>
      </c>
      <c r="H1606" s="437">
        <f>H1582+H1558</f>
        <v>1194.77</v>
      </c>
      <c r="I1606" s="340"/>
      <c r="J1606" s="340"/>
      <c r="K1606" s="340"/>
      <c r="L1606" s="340">
        <f>L1582+L1558</f>
        <v>2.46</v>
      </c>
      <c r="M1606" s="340"/>
      <c r="N1606" s="340"/>
    </row>
    <row r="1607" spans="1:14" ht="10.5" customHeight="1">
      <c r="A1607" s="280"/>
      <c r="B1607" s="392"/>
      <c r="C1607" s="577"/>
      <c r="D1607" s="456"/>
      <c r="E1607" s="50">
        <f>E1583+E1559</f>
        <v>93198.20000000001</v>
      </c>
      <c r="F1607" s="51">
        <v>2</v>
      </c>
      <c r="G1607" s="437"/>
      <c r="H1607" s="437"/>
      <c r="I1607" s="340"/>
      <c r="J1607" s="340"/>
      <c r="K1607" s="340"/>
      <c r="L1607" s="340"/>
      <c r="M1607" s="340"/>
      <c r="N1607" s="340"/>
    </row>
    <row r="1608" spans="1:14" ht="10.5" customHeight="1">
      <c r="A1608" s="280"/>
      <c r="B1608" s="392"/>
      <c r="C1608" s="577"/>
      <c r="D1608" s="456"/>
      <c r="E1608" s="50">
        <f>E1584+E1560</f>
        <v>596.8</v>
      </c>
      <c r="F1608" s="51">
        <v>3</v>
      </c>
      <c r="G1608" s="437"/>
      <c r="H1608" s="437"/>
      <c r="I1608" s="340"/>
      <c r="J1608" s="340"/>
      <c r="K1608" s="340"/>
      <c r="L1608" s="340"/>
      <c r="M1608" s="340"/>
      <c r="N1608" s="340"/>
    </row>
    <row r="1609" spans="1:14" ht="10.5" customHeight="1">
      <c r="A1609" s="280"/>
      <c r="B1609" s="393"/>
      <c r="C1609" s="577"/>
      <c r="D1609" s="456"/>
      <c r="E1609" s="50">
        <f>E1608+E1607+E1606</f>
        <v>98913.72000000002</v>
      </c>
      <c r="F1609" s="51">
        <v>5</v>
      </c>
      <c r="G1609" s="437"/>
      <c r="H1609" s="437"/>
      <c r="I1609" s="340"/>
      <c r="J1609" s="340"/>
      <c r="K1609" s="340"/>
      <c r="L1609" s="340"/>
      <c r="M1609" s="340"/>
      <c r="N1609" s="340"/>
    </row>
    <row r="1610" spans="1:14" ht="10.5" customHeight="1">
      <c r="A1610" s="218"/>
      <c r="B1610" s="219"/>
      <c r="C1610" s="220"/>
      <c r="D1610" s="457" t="s">
        <v>120</v>
      </c>
      <c r="E1610" s="221">
        <f>E1616+E1622+E1628+E1634+E1640</f>
        <v>5527821.274</v>
      </c>
      <c r="F1610" s="222">
        <v>1</v>
      </c>
      <c r="G1610" s="464">
        <f>G1616+G1622+G1628+G1634+G1640</f>
        <v>292.11563</v>
      </c>
      <c r="H1610" s="464">
        <f aca="true" t="shared" si="9" ref="H1610:M1610">H1616+H1622+H1628+H1634+H1640</f>
        <v>440130.812</v>
      </c>
      <c r="I1610" s="463">
        <f t="shared" si="9"/>
        <v>149.131</v>
      </c>
      <c r="J1610" s="463">
        <f t="shared" si="9"/>
        <v>1.11</v>
      </c>
      <c r="K1610" s="463">
        <f t="shared" si="9"/>
        <v>5.102</v>
      </c>
      <c r="L1610" s="463">
        <f t="shared" si="9"/>
        <v>297.3830000000001</v>
      </c>
      <c r="M1610" s="463">
        <f t="shared" si="9"/>
        <v>26.444999999999997</v>
      </c>
      <c r="N1610" s="464"/>
    </row>
    <row r="1611" spans="1:14" ht="10.5" customHeight="1">
      <c r="A1611" s="223"/>
      <c r="B1611" s="208"/>
      <c r="C1611" s="224"/>
      <c r="D1611" s="458"/>
      <c r="E1611" s="221">
        <f>E1617+E1623+E1629+E1635+E1641</f>
        <v>1131210.773</v>
      </c>
      <c r="F1611" s="222">
        <v>2</v>
      </c>
      <c r="G1611" s="578"/>
      <c r="H1611" s="578"/>
      <c r="I1611" s="580"/>
      <c r="J1611" s="580"/>
      <c r="K1611" s="580"/>
      <c r="L1611" s="580"/>
      <c r="M1611" s="580"/>
      <c r="N1611" s="578"/>
    </row>
    <row r="1612" spans="1:14" ht="10.5" customHeight="1">
      <c r="A1612" s="223"/>
      <c r="B1612" s="208"/>
      <c r="C1612" s="224"/>
      <c r="D1612" s="458"/>
      <c r="E1612" s="221">
        <f>E1618+E1624+E1630+E1636+E1642</f>
        <v>294835.69</v>
      </c>
      <c r="F1612" s="222" t="s">
        <v>258</v>
      </c>
      <c r="G1612" s="578"/>
      <c r="H1612" s="578"/>
      <c r="I1612" s="580"/>
      <c r="J1612" s="580"/>
      <c r="K1612" s="580"/>
      <c r="L1612" s="580"/>
      <c r="M1612" s="580"/>
      <c r="N1612" s="578"/>
    </row>
    <row r="1613" spans="1:14" ht="10.5" customHeight="1">
      <c r="A1613" s="223"/>
      <c r="B1613" s="208"/>
      <c r="C1613" s="224"/>
      <c r="D1613" s="458"/>
      <c r="E1613" s="221">
        <f>E1619+E1625+E1631+E1637+E1643</f>
        <v>191817.17999999996</v>
      </c>
      <c r="F1613" s="222">
        <v>3</v>
      </c>
      <c r="G1613" s="578"/>
      <c r="H1613" s="578"/>
      <c r="I1613" s="580"/>
      <c r="J1613" s="580"/>
      <c r="K1613" s="580"/>
      <c r="L1613" s="580"/>
      <c r="M1613" s="580"/>
      <c r="N1613" s="578"/>
    </row>
    <row r="1614" spans="1:14" ht="9.75" customHeight="1">
      <c r="A1614" s="223"/>
      <c r="B1614" s="208"/>
      <c r="C1614" s="224"/>
      <c r="D1614" s="458"/>
      <c r="E1614" s="221">
        <f>E1620+E1626+E1632+E1638+E1644</f>
        <v>498050.80000000005</v>
      </c>
      <c r="F1614" s="222">
        <v>4</v>
      </c>
      <c r="G1614" s="578"/>
      <c r="H1614" s="578"/>
      <c r="I1614" s="580"/>
      <c r="J1614" s="580"/>
      <c r="K1614" s="580"/>
      <c r="L1614" s="580"/>
      <c r="M1614" s="580"/>
      <c r="N1614" s="578"/>
    </row>
    <row r="1615" spans="1:14" ht="10.5" customHeight="1">
      <c r="A1615" s="223"/>
      <c r="B1615" s="208"/>
      <c r="C1615" s="224"/>
      <c r="D1615" s="458"/>
      <c r="E1615" s="221">
        <v>7348900.02</v>
      </c>
      <c r="F1615" s="222">
        <v>5</v>
      </c>
      <c r="G1615" s="578"/>
      <c r="H1615" s="578"/>
      <c r="I1615" s="580"/>
      <c r="J1615" s="580"/>
      <c r="K1615" s="580"/>
      <c r="L1615" s="580"/>
      <c r="M1615" s="580"/>
      <c r="N1615" s="578"/>
    </row>
    <row r="1616" spans="1:14" ht="10.5" customHeight="1">
      <c r="A1616" s="223"/>
      <c r="B1616" s="208"/>
      <c r="C1616" s="224"/>
      <c r="D1616" s="455">
        <v>2011</v>
      </c>
      <c r="E1616" s="221">
        <f>E1590+E1507+E1264+E799</f>
        <v>1169298.611</v>
      </c>
      <c r="F1616" s="222">
        <v>1</v>
      </c>
      <c r="G1616" s="464">
        <f>G1590+G1507+G1264+G799</f>
        <v>64.64200000000001</v>
      </c>
      <c r="H1616" s="464">
        <f>H1590+H1507+H1264+H799</f>
        <v>97956.76000000001</v>
      </c>
      <c r="I1616" s="463">
        <f>I1590+I1507+I1264+I799</f>
        <v>31.67</v>
      </c>
      <c r="J1616" s="463"/>
      <c r="K1616" s="463">
        <f>K1590+K1507+K1264+K799</f>
        <v>0.755</v>
      </c>
      <c r="L1616" s="463">
        <f>L1590+L1507+L1264+L799</f>
        <v>74.236</v>
      </c>
      <c r="M1616" s="463">
        <f>M1590+M1507+M1264+M799</f>
        <v>2.989</v>
      </c>
      <c r="N1616" s="464"/>
    </row>
    <row r="1617" spans="1:14" ht="9.75" customHeight="1">
      <c r="A1617" s="223"/>
      <c r="B1617" s="208"/>
      <c r="C1617" s="224"/>
      <c r="D1617" s="455"/>
      <c r="E1617" s="221">
        <f>E1591+E1508+E1265+E800</f>
        <v>185839.79</v>
      </c>
      <c r="F1617" s="222">
        <v>2</v>
      </c>
      <c r="G1617" s="464"/>
      <c r="H1617" s="464"/>
      <c r="I1617" s="463"/>
      <c r="J1617" s="463"/>
      <c r="K1617" s="463"/>
      <c r="L1617" s="463"/>
      <c r="M1617" s="463"/>
      <c r="N1617" s="464"/>
    </row>
    <row r="1618" spans="1:14" ht="10.5" customHeight="1">
      <c r="A1618" s="223"/>
      <c r="B1618" s="208"/>
      <c r="C1618" s="224"/>
      <c r="D1618" s="455"/>
      <c r="E1618" s="221">
        <v>45328.8</v>
      </c>
      <c r="F1618" s="222" t="s">
        <v>258</v>
      </c>
      <c r="G1618" s="464"/>
      <c r="H1618" s="464"/>
      <c r="I1618" s="463"/>
      <c r="J1618" s="463"/>
      <c r="K1618" s="463"/>
      <c r="L1618" s="463"/>
      <c r="M1618" s="463"/>
      <c r="N1618" s="464"/>
    </row>
    <row r="1619" spans="1:14" ht="9.75" customHeight="1">
      <c r="A1619" s="223"/>
      <c r="B1619" s="208"/>
      <c r="C1619" s="224"/>
      <c r="D1619" s="455"/>
      <c r="E1619" s="221">
        <v>43815.6</v>
      </c>
      <c r="F1619" s="222">
        <v>3</v>
      </c>
      <c r="G1619" s="464"/>
      <c r="H1619" s="464"/>
      <c r="I1619" s="463"/>
      <c r="J1619" s="463"/>
      <c r="K1619" s="463"/>
      <c r="L1619" s="463"/>
      <c r="M1619" s="463"/>
      <c r="N1619" s="464"/>
    </row>
    <row r="1620" spans="1:14" ht="11.25" customHeight="1">
      <c r="A1620" s="223"/>
      <c r="B1620" s="208"/>
      <c r="C1620" s="224"/>
      <c r="D1620" s="455"/>
      <c r="E1620" s="221">
        <f>E1511+E1268+E802</f>
        <v>66646.3</v>
      </c>
      <c r="F1620" s="222">
        <v>4</v>
      </c>
      <c r="G1620" s="464"/>
      <c r="H1620" s="464"/>
      <c r="I1620" s="463"/>
      <c r="J1620" s="463"/>
      <c r="K1620" s="463"/>
      <c r="L1620" s="463"/>
      <c r="M1620" s="463"/>
      <c r="N1620" s="464"/>
    </row>
    <row r="1621" spans="1:14" ht="10.5" customHeight="1">
      <c r="A1621" s="223"/>
      <c r="B1621" s="208"/>
      <c r="C1621" s="224"/>
      <c r="D1621" s="455"/>
      <c r="E1621" s="221">
        <f>E1616+E1617+E1619+E1620</f>
        <v>1465600.3010000002</v>
      </c>
      <c r="F1621" s="222">
        <v>5</v>
      </c>
      <c r="G1621" s="464"/>
      <c r="H1621" s="464"/>
      <c r="I1621" s="463"/>
      <c r="J1621" s="463"/>
      <c r="K1621" s="463"/>
      <c r="L1621" s="463"/>
      <c r="M1621" s="463"/>
      <c r="N1621" s="464"/>
    </row>
    <row r="1622" spans="1:14" ht="9.75" customHeight="1">
      <c r="A1622" s="223"/>
      <c r="B1622" s="208"/>
      <c r="C1622" s="224"/>
      <c r="D1622" s="455">
        <v>2012</v>
      </c>
      <c r="E1622" s="221">
        <f>E1594+E1513+E1270+E804</f>
        <v>1118260.7799999998</v>
      </c>
      <c r="F1622" s="222">
        <v>1</v>
      </c>
      <c r="G1622" s="464">
        <v>52.83</v>
      </c>
      <c r="H1622" s="464">
        <f>H1594+H1513+H1270+H804</f>
        <v>80030.04199999999</v>
      </c>
      <c r="I1622" s="463">
        <f>I1594+I1513+I1270+I804</f>
        <v>28.109</v>
      </c>
      <c r="J1622" s="463"/>
      <c r="K1622" s="463">
        <f>K1594+K1513+K1270+K804</f>
        <v>0.047</v>
      </c>
      <c r="L1622" s="463">
        <f>L1594+L1513+L1270+L804</f>
        <v>52.873</v>
      </c>
      <c r="M1622" s="463">
        <f>M1594+M1513+M1270+M804</f>
        <v>3.0389999999999997</v>
      </c>
      <c r="N1622" s="463"/>
    </row>
    <row r="1623" spans="1:14" ht="9.75" customHeight="1">
      <c r="A1623" s="223"/>
      <c r="B1623" s="208"/>
      <c r="C1623" s="224"/>
      <c r="D1623" s="455"/>
      <c r="E1623" s="221">
        <f>E1595+E1514+E1271+E805</f>
        <v>187169.34</v>
      </c>
      <c r="F1623" s="222">
        <v>2</v>
      </c>
      <c r="G1623" s="464"/>
      <c r="H1623" s="464"/>
      <c r="I1623" s="463"/>
      <c r="J1623" s="463"/>
      <c r="K1623" s="463"/>
      <c r="L1623" s="463"/>
      <c r="M1623" s="463"/>
      <c r="N1623" s="463"/>
    </row>
    <row r="1624" spans="1:14" ht="10.5" customHeight="1">
      <c r="A1624" s="223"/>
      <c r="B1624" s="208"/>
      <c r="C1624" s="224"/>
      <c r="D1624" s="455"/>
      <c r="E1624" s="221">
        <f>E806+E1272+E1515</f>
        <v>51751.32000000001</v>
      </c>
      <c r="F1624" s="222" t="s">
        <v>258</v>
      </c>
      <c r="G1624" s="464"/>
      <c r="H1624" s="464"/>
      <c r="I1624" s="463"/>
      <c r="J1624" s="463"/>
      <c r="K1624" s="463"/>
      <c r="L1624" s="463"/>
      <c r="M1624" s="463"/>
      <c r="N1624" s="463"/>
    </row>
    <row r="1625" spans="1:14" ht="10.5" customHeight="1">
      <c r="A1625" s="223"/>
      <c r="B1625" s="208"/>
      <c r="C1625" s="224"/>
      <c r="D1625" s="455"/>
      <c r="E1625" s="221">
        <f>E1596+E1516+E1273</f>
        <v>41635.7</v>
      </c>
      <c r="F1625" s="222">
        <v>3</v>
      </c>
      <c r="G1625" s="464"/>
      <c r="H1625" s="464"/>
      <c r="I1625" s="463"/>
      <c r="J1625" s="463"/>
      <c r="K1625" s="463"/>
      <c r="L1625" s="463"/>
      <c r="M1625" s="463"/>
      <c r="N1625" s="463"/>
    </row>
    <row r="1626" spans="1:14" ht="10.5" customHeight="1">
      <c r="A1626" s="223"/>
      <c r="B1626" s="208"/>
      <c r="C1626" s="224"/>
      <c r="D1626" s="455"/>
      <c r="E1626" s="221">
        <f>E1517+E1274+E807</f>
        <v>64479.3</v>
      </c>
      <c r="F1626" s="222">
        <v>4</v>
      </c>
      <c r="G1626" s="464"/>
      <c r="H1626" s="464"/>
      <c r="I1626" s="463"/>
      <c r="J1626" s="463"/>
      <c r="K1626" s="463"/>
      <c r="L1626" s="463"/>
      <c r="M1626" s="463"/>
      <c r="N1626" s="463"/>
    </row>
    <row r="1627" spans="1:14" ht="10.5" customHeight="1">
      <c r="A1627" s="223"/>
      <c r="B1627" s="208"/>
      <c r="C1627" s="224"/>
      <c r="D1627" s="455"/>
      <c r="E1627" s="221">
        <f>E1622+E1623+E1625+E1626</f>
        <v>1411545.1199999999</v>
      </c>
      <c r="F1627" s="222">
        <v>5</v>
      </c>
      <c r="G1627" s="464"/>
      <c r="H1627" s="464"/>
      <c r="I1627" s="463"/>
      <c r="J1627" s="463"/>
      <c r="K1627" s="463"/>
      <c r="L1627" s="463"/>
      <c r="M1627" s="463"/>
      <c r="N1627" s="463"/>
    </row>
    <row r="1628" spans="1:14" ht="10.5" customHeight="1">
      <c r="A1628" s="223"/>
      <c r="B1628" s="208"/>
      <c r="C1628" s="224"/>
      <c r="D1628" s="455">
        <v>2013</v>
      </c>
      <c r="E1628" s="221">
        <f>E1598+E1519+E1276+E809</f>
        <v>1107052.2110000001</v>
      </c>
      <c r="F1628" s="222">
        <v>1</v>
      </c>
      <c r="G1628" s="464">
        <v>61.31</v>
      </c>
      <c r="H1628" s="464">
        <f aca="true" t="shared" si="10" ref="H1628:M1628">H1598+H1519+H1276+H809</f>
        <v>93791.768</v>
      </c>
      <c r="I1628" s="463">
        <f t="shared" si="10"/>
        <v>27.208</v>
      </c>
      <c r="J1628" s="463">
        <f t="shared" si="10"/>
        <v>1.11</v>
      </c>
      <c r="K1628" s="463">
        <f t="shared" si="10"/>
        <v>4.3</v>
      </c>
      <c r="L1628" s="463">
        <f t="shared" si="10"/>
        <v>64.87000000000002</v>
      </c>
      <c r="M1628" s="463">
        <f t="shared" si="10"/>
        <v>7.439</v>
      </c>
      <c r="N1628" s="464"/>
    </row>
    <row r="1629" spans="1:14" ht="9.75" customHeight="1">
      <c r="A1629" s="223"/>
      <c r="B1629" s="208"/>
      <c r="C1629" s="224"/>
      <c r="D1629" s="455"/>
      <c r="E1629" s="221">
        <f>E1599+E1520+E1277+E810</f>
        <v>241957.78100000002</v>
      </c>
      <c r="F1629" s="222">
        <v>2</v>
      </c>
      <c r="G1629" s="464"/>
      <c r="H1629" s="464"/>
      <c r="I1629" s="463"/>
      <c r="J1629" s="463"/>
      <c r="K1629" s="463"/>
      <c r="L1629" s="463"/>
      <c r="M1629" s="463"/>
      <c r="N1629" s="464"/>
    </row>
    <row r="1630" spans="1:14" ht="10.5" customHeight="1">
      <c r="A1630" s="223"/>
      <c r="B1630" s="208"/>
      <c r="C1630" s="224"/>
      <c r="D1630" s="455"/>
      <c r="E1630" s="221">
        <f>E811+E1278+E1521</f>
        <v>61279.579999999994</v>
      </c>
      <c r="F1630" s="222" t="s">
        <v>258</v>
      </c>
      <c r="G1630" s="464"/>
      <c r="H1630" s="464"/>
      <c r="I1630" s="463"/>
      <c r="J1630" s="463"/>
      <c r="K1630" s="463"/>
      <c r="L1630" s="463"/>
      <c r="M1630" s="463"/>
      <c r="N1630" s="464"/>
    </row>
    <row r="1631" spans="1:14" ht="9.75" customHeight="1">
      <c r="A1631" s="223"/>
      <c r="B1631" s="208"/>
      <c r="C1631" s="224"/>
      <c r="D1631" s="455"/>
      <c r="E1631" s="221">
        <f>E1600+E1522+E1279</f>
        <v>37539.68</v>
      </c>
      <c r="F1631" s="222">
        <v>3</v>
      </c>
      <c r="G1631" s="464"/>
      <c r="H1631" s="464"/>
      <c r="I1631" s="463"/>
      <c r="J1631" s="463"/>
      <c r="K1631" s="463"/>
      <c r="L1631" s="463"/>
      <c r="M1631" s="463"/>
      <c r="N1631" s="464"/>
    </row>
    <row r="1632" spans="1:14" ht="9.75" customHeight="1">
      <c r="A1632" s="223"/>
      <c r="B1632" s="208"/>
      <c r="C1632" s="224"/>
      <c r="D1632" s="455"/>
      <c r="E1632" s="221">
        <f>E812+E1280+E1523</f>
        <v>119377.38</v>
      </c>
      <c r="F1632" s="222">
        <v>4</v>
      </c>
      <c r="G1632" s="464"/>
      <c r="H1632" s="464"/>
      <c r="I1632" s="463"/>
      <c r="J1632" s="463"/>
      <c r="K1632" s="463"/>
      <c r="L1632" s="463"/>
      <c r="M1632" s="463"/>
      <c r="N1632" s="464"/>
    </row>
    <row r="1633" spans="1:14" ht="10.5" customHeight="1">
      <c r="A1633" s="223"/>
      <c r="B1633" s="208"/>
      <c r="C1633" s="224"/>
      <c r="D1633" s="455"/>
      <c r="E1633" s="221">
        <f>E1628+E1629+E1631+E1632</f>
        <v>1505927.0520000001</v>
      </c>
      <c r="F1633" s="222">
        <v>5</v>
      </c>
      <c r="G1633" s="464"/>
      <c r="H1633" s="464"/>
      <c r="I1633" s="463"/>
      <c r="J1633" s="463"/>
      <c r="K1633" s="463"/>
      <c r="L1633" s="463"/>
      <c r="M1633" s="463"/>
      <c r="N1633" s="464"/>
    </row>
    <row r="1634" spans="1:14" ht="11.25" customHeight="1">
      <c r="A1634" s="223"/>
      <c r="B1634" s="208"/>
      <c r="C1634" s="224"/>
      <c r="D1634" s="455">
        <v>2014</v>
      </c>
      <c r="E1634" s="221">
        <f>E1602+E1525+E1282+E814</f>
        <v>1069725.411</v>
      </c>
      <c r="F1634" s="222">
        <v>1</v>
      </c>
      <c r="G1634" s="464">
        <f>G1602+G1525+G1282+G814</f>
        <v>57.95441</v>
      </c>
      <c r="H1634" s="464">
        <f>H1602+H1525+H1282+H814</f>
        <v>86240.11099999999</v>
      </c>
      <c r="I1634" s="463">
        <f>I1602+I1525+I1282+I814</f>
        <v>32.727000000000004</v>
      </c>
      <c r="J1634" s="463"/>
      <c r="K1634" s="463"/>
      <c r="L1634" s="463">
        <f>L1602+L1525+L1282+L814</f>
        <v>50.96800000000001</v>
      </c>
      <c r="M1634" s="463">
        <f>M1602+M1525+M1282+M814</f>
        <v>6.519</v>
      </c>
      <c r="N1634" s="464"/>
    </row>
    <row r="1635" spans="1:14" ht="10.5" customHeight="1">
      <c r="A1635" s="223"/>
      <c r="B1635" s="208"/>
      <c r="C1635" s="224"/>
      <c r="D1635" s="455"/>
      <c r="E1635" s="221">
        <f>E1603+E1526+E1283+E815</f>
        <v>234857.171</v>
      </c>
      <c r="F1635" s="222">
        <v>2</v>
      </c>
      <c r="G1635" s="464"/>
      <c r="H1635" s="464"/>
      <c r="I1635" s="463"/>
      <c r="J1635" s="463"/>
      <c r="K1635" s="463"/>
      <c r="L1635" s="463"/>
      <c r="M1635" s="463"/>
      <c r="N1635" s="464"/>
    </row>
    <row r="1636" spans="1:14" ht="10.5" customHeight="1">
      <c r="A1636" s="223"/>
      <c r="B1636" s="208"/>
      <c r="C1636" s="224"/>
      <c r="D1636" s="455"/>
      <c r="E1636" s="221">
        <f>E816+E1284+E1527</f>
        <v>58868.82</v>
      </c>
      <c r="F1636" s="222" t="s">
        <v>258</v>
      </c>
      <c r="G1636" s="464"/>
      <c r="H1636" s="464"/>
      <c r="I1636" s="463"/>
      <c r="J1636" s="463"/>
      <c r="K1636" s="463"/>
      <c r="L1636" s="463"/>
      <c r="M1636" s="463"/>
      <c r="N1636" s="464"/>
    </row>
    <row r="1637" spans="1:14" ht="10.5" customHeight="1">
      <c r="A1637" s="223"/>
      <c r="B1637" s="208"/>
      <c r="C1637" s="224"/>
      <c r="D1637" s="455"/>
      <c r="E1637" s="221">
        <f>E1604+E1528+E1285</f>
        <v>35322.4</v>
      </c>
      <c r="F1637" s="222">
        <v>3</v>
      </c>
      <c r="G1637" s="464"/>
      <c r="H1637" s="464"/>
      <c r="I1637" s="463"/>
      <c r="J1637" s="463"/>
      <c r="K1637" s="463"/>
      <c r="L1637" s="463"/>
      <c r="M1637" s="463"/>
      <c r="N1637" s="464"/>
    </row>
    <row r="1638" spans="1:14" ht="10.5" customHeight="1">
      <c r="A1638" s="223"/>
      <c r="B1638" s="208"/>
      <c r="C1638" s="224"/>
      <c r="D1638" s="455"/>
      <c r="E1638" s="221">
        <f>E1529+E1286+E817</f>
        <v>116052.22</v>
      </c>
      <c r="F1638" s="222">
        <v>4</v>
      </c>
      <c r="G1638" s="464"/>
      <c r="H1638" s="464"/>
      <c r="I1638" s="463"/>
      <c r="J1638" s="463"/>
      <c r="K1638" s="463"/>
      <c r="L1638" s="463"/>
      <c r="M1638" s="463"/>
      <c r="N1638" s="464"/>
    </row>
    <row r="1639" spans="1:14" ht="11.25" customHeight="1">
      <c r="A1639" s="225"/>
      <c r="B1639" s="210"/>
      <c r="C1639" s="226"/>
      <c r="D1639" s="455"/>
      <c r="E1639" s="221">
        <f>E1634+E1635+E1637+E1638</f>
        <v>1455957.202</v>
      </c>
      <c r="F1639" s="222">
        <v>5</v>
      </c>
      <c r="G1639" s="464"/>
      <c r="H1639" s="464"/>
      <c r="I1639" s="463"/>
      <c r="J1639" s="463"/>
      <c r="K1639" s="463"/>
      <c r="L1639" s="463"/>
      <c r="M1639" s="463"/>
      <c r="N1639" s="464"/>
    </row>
    <row r="1640" spans="1:14" ht="9.75" customHeight="1">
      <c r="A1640" s="218"/>
      <c r="B1640" s="227"/>
      <c r="C1640" s="220"/>
      <c r="D1640" s="455">
        <v>2015</v>
      </c>
      <c r="E1640" s="221">
        <f>E1606+E1531+E1288+E819</f>
        <v>1063484.261</v>
      </c>
      <c r="F1640" s="222">
        <v>1</v>
      </c>
      <c r="G1640" s="464">
        <f>G1606+G1531+G1288+G819</f>
        <v>55.379220000000004</v>
      </c>
      <c r="H1640" s="464">
        <f>H1606+H1531+H1288+H819</f>
        <v>82112.131</v>
      </c>
      <c r="I1640" s="463">
        <f>I1606+I1531+I1288+I819</f>
        <v>29.416999999999998</v>
      </c>
      <c r="J1640" s="463"/>
      <c r="K1640" s="463"/>
      <c r="L1640" s="463">
        <f>L1606+L1531+L1288+L819</f>
        <v>54.436000000000014</v>
      </c>
      <c r="M1640" s="463">
        <f>M1606+M1531+M1288+M819</f>
        <v>6.459</v>
      </c>
      <c r="N1640" s="463"/>
    </row>
    <row r="1641" spans="1:14" ht="9.75" customHeight="1">
      <c r="A1641" s="223"/>
      <c r="B1641" s="208"/>
      <c r="C1641" s="224"/>
      <c r="D1641" s="455"/>
      <c r="E1641" s="221">
        <f>E1607+E1532+E1289+E820</f>
        <v>281386.69100000005</v>
      </c>
      <c r="F1641" s="222">
        <v>2</v>
      </c>
      <c r="G1641" s="464"/>
      <c r="H1641" s="464"/>
      <c r="I1641" s="463"/>
      <c r="J1641" s="463"/>
      <c r="K1641" s="463"/>
      <c r="L1641" s="463"/>
      <c r="M1641" s="463"/>
      <c r="N1641" s="463"/>
    </row>
    <row r="1642" spans="1:14" ht="10.5" customHeight="1">
      <c r="A1642" s="223"/>
      <c r="B1642" s="208"/>
      <c r="C1642" s="224"/>
      <c r="D1642" s="455"/>
      <c r="E1642" s="221">
        <f>E821+E1290+E1533</f>
        <v>77607.17</v>
      </c>
      <c r="F1642" s="222" t="s">
        <v>258</v>
      </c>
      <c r="G1642" s="464"/>
      <c r="H1642" s="464"/>
      <c r="I1642" s="463"/>
      <c r="J1642" s="463"/>
      <c r="K1642" s="463"/>
      <c r="L1642" s="463"/>
      <c r="M1642" s="463"/>
      <c r="N1642" s="463"/>
    </row>
    <row r="1643" spans="1:14" ht="9.75" customHeight="1">
      <c r="A1643" s="223"/>
      <c r="B1643" s="208"/>
      <c r="C1643" s="224"/>
      <c r="D1643" s="455"/>
      <c r="E1643" s="221">
        <f>E1608+E1534+E1291</f>
        <v>33503.799999999996</v>
      </c>
      <c r="F1643" s="222">
        <v>3</v>
      </c>
      <c r="G1643" s="464"/>
      <c r="H1643" s="464"/>
      <c r="I1643" s="463"/>
      <c r="J1643" s="463"/>
      <c r="K1643" s="463"/>
      <c r="L1643" s="463"/>
      <c r="M1643" s="463"/>
      <c r="N1643" s="463"/>
    </row>
    <row r="1644" spans="1:14" ht="10.5" customHeight="1">
      <c r="A1644" s="223"/>
      <c r="B1644" s="208"/>
      <c r="C1644" s="224"/>
      <c r="D1644" s="455"/>
      <c r="E1644" s="221">
        <f>E1535+E1292+E822</f>
        <v>131495.6</v>
      </c>
      <c r="F1644" s="222">
        <v>4</v>
      </c>
      <c r="G1644" s="464"/>
      <c r="H1644" s="464"/>
      <c r="I1644" s="463"/>
      <c r="J1644" s="463"/>
      <c r="K1644" s="463"/>
      <c r="L1644" s="463"/>
      <c r="M1644" s="463"/>
      <c r="N1644" s="463"/>
    </row>
    <row r="1645" spans="1:14" ht="10.5" customHeight="1">
      <c r="A1645" s="225"/>
      <c r="B1645" s="219" t="s">
        <v>116</v>
      </c>
      <c r="C1645" s="226"/>
      <c r="D1645" s="455"/>
      <c r="E1645" s="221">
        <f>E1640+E1641+E1643+E1644</f>
        <v>1509870.3520000002</v>
      </c>
      <c r="F1645" s="222">
        <v>5</v>
      </c>
      <c r="G1645" s="464"/>
      <c r="H1645" s="464"/>
      <c r="I1645" s="463"/>
      <c r="J1645" s="463"/>
      <c r="K1645" s="463"/>
      <c r="L1645" s="463"/>
      <c r="M1645" s="463"/>
      <c r="N1645" s="463"/>
    </row>
    <row r="1646" spans="1:14" ht="11.25" customHeight="1">
      <c r="A1646" s="285" t="s">
        <v>269</v>
      </c>
      <c r="B1646" s="626"/>
      <c r="C1646" s="626"/>
      <c r="D1646" s="626"/>
      <c r="E1646" s="626"/>
      <c r="F1646" s="626"/>
      <c r="G1646" s="626"/>
      <c r="H1646" s="626"/>
      <c r="I1646" s="626"/>
      <c r="J1646" s="626"/>
      <c r="K1646" s="626"/>
      <c r="L1646" s="626"/>
      <c r="M1646" s="626"/>
      <c r="N1646" s="626"/>
    </row>
    <row r="1647" spans="1:14" ht="10.5" customHeight="1">
      <c r="A1647" s="401">
        <v>149</v>
      </c>
      <c r="B1647" s="390" t="s">
        <v>446</v>
      </c>
      <c r="C1647" s="407" t="s">
        <v>265</v>
      </c>
      <c r="D1647" s="322" t="s">
        <v>120</v>
      </c>
      <c r="E1647" s="78">
        <f>E1653+E1659+E1664+E1669+E1674</f>
        <v>12898.319999999998</v>
      </c>
      <c r="F1647" s="123">
        <v>1</v>
      </c>
      <c r="G1647" s="337">
        <f>SUM(G1653:G1678)</f>
        <v>5.140000000000001</v>
      </c>
      <c r="H1647" s="337">
        <f>SUM(H1653:H1678)</f>
        <v>12215.73</v>
      </c>
      <c r="I1647" s="329">
        <f>SUM(I1653:I1678)</f>
        <v>0.387</v>
      </c>
      <c r="J1647" s="329"/>
      <c r="K1647" s="329">
        <f>SUM(K1653:K1678)</f>
        <v>1.737</v>
      </c>
      <c r="L1647" s="329">
        <f>SUM(L1653:L1678)</f>
        <v>1.153</v>
      </c>
      <c r="M1647" s="329">
        <f>SUM(M1653:M1678)</f>
        <v>14.786999999999999</v>
      </c>
      <c r="N1647" s="329">
        <f>SUM(N1653:N1678)</f>
        <v>0.63</v>
      </c>
    </row>
    <row r="1648" spans="1:14" ht="10.5" customHeight="1">
      <c r="A1648" s="402"/>
      <c r="B1648" s="390"/>
      <c r="C1648" s="331"/>
      <c r="D1648" s="322"/>
      <c r="E1648" s="78">
        <f>E1654+E1660+E1665+E1670+E1675</f>
        <v>26257.73</v>
      </c>
      <c r="F1648" s="123">
        <v>2</v>
      </c>
      <c r="G1648" s="337"/>
      <c r="H1648" s="337"/>
      <c r="I1648" s="329"/>
      <c r="J1648" s="329"/>
      <c r="K1648" s="329"/>
      <c r="L1648" s="329"/>
      <c r="M1648" s="329"/>
      <c r="N1648" s="329"/>
    </row>
    <row r="1649" spans="1:14" ht="9.75" customHeight="1">
      <c r="A1649" s="402"/>
      <c r="B1649" s="390"/>
      <c r="C1649" s="331"/>
      <c r="D1649" s="322"/>
      <c r="E1649" s="78">
        <f>E1655+E1661+E1666+E1671+E1676</f>
        <v>1390</v>
      </c>
      <c r="F1649" s="123" t="s">
        <v>258</v>
      </c>
      <c r="G1649" s="337"/>
      <c r="H1649" s="337"/>
      <c r="I1649" s="329"/>
      <c r="J1649" s="329"/>
      <c r="K1649" s="329"/>
      <c r="L1649" s="329"/>
      <c r="M1649" s="329"/>
      <c r="N1649" s="329"/>
    </row>
    <row r="1650" spans="1:14" ht="10.5" customHeight="1">
      <c r="A1650" s="402"/>
      <c r="B1650" s="390"/>
      <c r="C1650" s="331"/>
      <c r="D1650" s="322"/>
      <c r="E1650" s="78">
        <f>E1656</f>
        <v>13</v>
      </c>
      <c r="F1650" s="123">
        <v>3</v>
      </c>
      <c r="G1650" s="337"/>
      <c r="H1650" s="337"/>
      <c r="I1650" s="329"/>
      <c r="J1650" s="329"/>
      <c r="K1650" s="329"/>
      <c r="L1650" s="329"/>
      <c r="M1650" s="329"/>
      <c r="N1650" s="329"/>
    </row>
    <row r="1651" spans="1:14" ht="10.5" customHeight="1">
      <c r="A1651" s="402"/>
      <c r="B1651" s="390"/>
      <c r="C1651" s="331"/>
      <c r="D1651" s="322"/>
      <c r="E1651" s="78">
        <f>E1657+E1677+E1662+E1667+E1672</f>
        <v>3165</v>
      </c>
      <c r="F1651" s="123">
        <v>4</v>
      </c>
      <c r="G1651" s="337"/>
      <c r="H1651" s="337"/>
      <c r="I1651" s="329"/>
      <c r="J1651" s="329"/>
      <c r="K1651" s="329"/>
      <c r="L1651" s="329"/>
      <c r="M1651" s="329"/>
      <c r="N1651" s="329"/>
    </row>
    <row r="1652" spans="1:14" ht="9.75" customHeight="1">
      <c r="A1652" s="402"/>
      <c r="B1652" s="390"/>
      <c r="C1652" s="331"/>
      <c r="D1652" s="322"/>
      <c r="E1652" s="78">
        <f>E1647+E1648+E1650+E1651</f>
        <v>42334.049999999996</v>
      </c>
      <c r="F1652" s="123">
        <v>5</v>
      </c>
      <c r="G1652" s="337"/>
      <c r="H1652" s="337"/>
      <c r="I1652" s="329"/>
      <c r="J1652" s="329"/>
      <c r="K1652" s="329"/>
      <c r="L1652" s="329"/>
      <c r="M1652" s="329"/>
      <c r="N1652" s="329"/>
    </row>
    <row r="1653" spans="1:14" ht="10.5" customHeight="1">
      <c r="A1653" s="402"/>
      <c r="B1653" s="390"/>
      <c r="C1653" s="331"/>
      <c r="D1653" s="322">
        <v>2011</v>
      </c>
      <c r="E1653" s="78">
        <v>4185.53</v>
      </c>
      <c r="F1653" s="123">
        <v>1</v>
      </c>
      <c r="G1653" s="337">
        <v>1.61</v>
      </c>
      <c r="H1653" s="337">
        <v>3203.79</v>
      </c>
      <c r="I1653" s="329">
        <v>0.12</v>
      </c>
      <c r="J1653" s="329"/>
      <c r="K1653" s="329">
        <v>0.891</v>
      </c>
      <c r="L1653" s="329">
        <v>0.397</v>
      </c>
      <c r="M1653" s="329">
        <v>3.224</v>
      </c>
      <c r="N1653" s="329">
        <v>0.2</v>
      </c>
    </row>
    <row r="1654" spans="1:14" ht="10.5" customHeight="1">
      <c r="A1654" s="402"/>
      <c r="B1654" s="390"/>
      <c r="C1654" s="331"/>
      <c r="D1654" s="322"/>
      <c r="E1654" s="78">
        <v>8443.41</v>
      </c>
      <c r="F1654" s="123">
        <v>2</v>
      </c>
      <c r="G1654" s="337"/>
      <c r="H1654" s="337"/>
      <c r="I1654" s="329"/>
      <c r="J1654" s="329"/>
      <c r="K1654" s="329"/>
      <c r="L1654" s="329"/>
      <c r="M1654" s="329"/>
      <c r="N1654" s="329"/>
    </row>
    <row r="1655" spans="1:14" ht="10.5" customHeight="1">
      <c r="A1655" s="402"/>
      <c r="B1655" s="390"/>
      <c r="C1655" s="331"/>
      <c r="D1655" s="322"/>
      <c r="E1655" s="78">
        <v>200</v>
      </c>
      <c r="F1655" s="123" t="s">
        <v>258</v>
      </c>
      <c r="G1655" s="337"/>
      <c r="H1655" s="337"/>
      <c r="I1655" s="329"/>
      <c r="J1655" s="329"/>
      <c r="K1655" s="329"/>
      <c r="L1655" s="329"/>
      <c r="M1655" s="329"/>
      <c r="N1655" s="329"/>
    </row>
    <row r="1656" spans="1:14" ht="9.75" customHeight="1">
      <c r="A1656" s="402"/>
      <c r="B1656" s="390"/>
      <c r="C1656" s="331"/>
      <c r="D1656" s="322"/>
      <c r="E1656" s="78">
        <f>3+10</f>
        <v>13</v>
      </c>
      <c r="F1656" s="123">
        <v>3</v>
      </c>
      <c r="G1656" s="337"/>
      <c r="H1656" s="337"/>
      <c r="I1656" s="329"/>
      <c r="J1656" s="329"/>
      <c r="K1656" s="329"/>
      <c r="L1656" s="329"/>
      <c r="M1656" s="329"/>
      <c r="N1656" s="329"/>
    </row>
    <row r="1657" spans="1:14" ht="9.75" customHeight="1">
      <c r="A1657" s="402"/>
      <c r="B1657" s="390"/>
      <c r="C1657" s="331"/>
      <c r="D1657" s="322"/>
      <c r="E1657" s="78">
        <f>5+1300+150+300+10</f>
        <v>1765</v>
      </c>
      <c r="F1657" s="123">
        <v>4</v>
      </c>
      <c r="G1657" s="337"/>
      <c r="H1657" s="337"/>
      <c r="I1657" s="329"/>
      <c r="J1657" s="329"/>
      <c r="K1657" s="329"/>
      <c r="L1657" s="329"/>
      <c r="M1657" s="329"/>
      <c r="N1657" s="329"/>
    </row>
    <row r="1658" spans="1:14" ht="9.75" customHeight="1">
      <c r="A1658" s="402"/>
      <c r="B1658" s="390"/>
      <c r="C1658" s="331"/>
      <c r="D1658" s="322"/>
      <c r="E1658" s="78">
        <f>E1653+E1654+E1656+E1657</f>
        <v>14406.939999999999</v>
      </c>
      <c r="F1658" s="123">
        <v>5</v>
      </c>
      <c r="G1658" s="337"/>
      <c r="H1658" s="337"/>
      <c r="I1658" s="329"/>
      <c r="J1658" s="329"/>
      <c r="K1658" s="329"/>
      <c r="L1658" s="329"/>
      <c r="M1658" s="329"/>
      <c r="N1658" s="329"/>
    </row>
    <row r="1659" spans="1:14" ht="9" customHeight="1">
      <c r="A1659" s="402"/>
      <c r="B1659" s="390"/>
      <c r="C1659" s="331"/>
      <c r="D1659" s="322">
        <v>2012</v>
      </c>
      <c r="E1659" s="78">
        <f>2201.1</f>
        <v>2201.1</v>
      </c>
      <c r="F1659" s="123">
        <v>1</v>
      </c>
      <c r="G1659" s="337">
        <f>0.92</f>
        <v>0.92</v>
      </c>
      <c r="H1659" s="337">
        <f>2201.72</f>
        <v>2201.72</v>
      </c>
      <c r="I1659" s="329">
        <v>0.041</v>
      </c>
      <c r="J1659" s="329"/>
      <c r="K1659" s="329">
        <v>0.336</v>
      </c>
      <c r="L1659" s="329">
        <v>0.203</v>
      </c>
      <c r="M1659" s="329">
        <f>2.714</f>
        <v>2.714</v>
      </c>
      <c r="N1659" s="329">
        <v>0.159</v>
      </c>
    </row>
    <row r="1660" spans="1:14" ht="9.75" customHeight="1">
      <c r="A1660" s="402"/>
      <c r="B1660" s="390"/>
      <c r="C1660" s="331"/>
      <c r="D1660" s="322"/>
      <c r="E1660" s="78">
        <v>4006.09</v>
      </c>
      <c r="F1660" s="123">
        <v>2</v>
      </c>
      <c r="G1660" s="337"/>
      <c r="H1660" s="337"/>
      <c r="I1660" s="329"/>
      <c r="J1660" s="329"/>
      <c r="K1660" s="329"/>
      <c r="L1660" s="329"/>
      <c r="M1660" s="329"/>
      <c r="N1660" s="329"/>
    </row>
    <row r="1661" spans="1:14" ht="9.75" customHeight="1">
      <c r="A1661" s="402"/>
      <c r="B1661" s="390"/>
      <c r="C1661" s="331"/>
      <c r="D1661" s="322"/>
      <c r="E1661" s="78">
        <v>210</v>
      </c>
      <c r="F1661" s="123" t="s">
        <v>258</v>
      </c>
      <c r="G1661" s="337"/>
      <c r="H1661" s="337"/>
      <c r="I1661" s="329"/>
      <c r="J1661" s="329"/>
      <c r="K1661" s="329"/>
      <c r="L1661" s="329"/>
      <c r="M1661" s="329"/>
      <c r="N1661" s="329"/>
    </row>
    <row r="1662" spans="1:14" ht="9" customHeight="1">
      <c r="A1662" s="402"/>
      <c r="B1662" s="390"/>
      <c r="C1662" s="331"/>
      <c r="D1662" s="322"/>
      <c r="E1662" s="78">
        <f>150</f>
        <v>150</v>
      </c>
      <c r="F1662" s="123">
        <v>4</v>
      </c>
      <c r="G1662" s="337"/>
      <c r="H1662" s="337"/>
      <c r="I1662" s="329"/>
      <c r="J1662" s="329"/>
      <c r="K1662" s="329"/>
      <c r="L1662" s="329"/>
      <c r="M1662" s="329"/>
      <c r="N1662" s="329"/>
    </row>
    <row r="1663" spans="1:14" ht="9.75" customHeight="1">
      <c r="A1663" s="402"/>
      <c r="B1663" s="390"/>
      <c r="C1663" s="331"/>
      <c r="D1663" s="322"/>
      <c r="E1663" s="78">
        <f>E1659+E1660+E1662</f>
        <v>6357.1900000000005</v>
      </c>
      <c r="F1663" s="123">
        <v>5</v>
      </c>
      <c r="G1663" s="337"/>
      <c r="H1663" s="581"/>
      <c r="I1663" s="329"/>
      <c r="J1663" s="329"/>
      <c r="K1663" s="329"/>
      <c r="L1663" s="329"/>
      <c r="M1663" s="329"/>
      <c r="N1663" s="329"/>
    </row>
    <row r="1664" spans="1:14" ht="10.5" customHeight="1">
      <c r="A1664" s="394"/>
      <c r="B1664" s="395" t="s">
        <v>445</v>
      </c>
      <c r="C1664" s="408"/>
      <c r="D1664" s="322">
        <v>2013</v>
      </c>
      <c r="E1664" s="78">
        <v>1842.89</v>
      </c>
      <c r="F1664" s="123">
        <v>1</v>
      </c>
      <c r="G1664" s="337">
        <v>0.85</v>
      </c>
      <c r="H1664" s="337">
        <v>2107.12</v>
      </c>
      <c r="I1664" s="329">
        <v>0.065</v>
      </c>
      <c r="J1664" s="329"/>
      <c r="K1664" s="329">
        <v>0.21</v>
      </c>
      <c r="L1664" s="329">
        <v>0.185</v>
      </c>
      <c r="M1664" s="329">
        <v>2.687</v>
      </c>
      <c r="N1664" s="329">
        <v>0.106</v>
      </c>
    </row>
    <row r="1665" spans="1:14" ht="10.5" customHeight="1">
      <c r="A1665" s="394"/>
      <c r="B1665" s="396"/>
      <c r="C1665" s="408"/>
      <c r="D1665" s="322"/>
      <c r="E1665" s="78">
        <v>3769.95</v>
      </c>
      <c r="F1665" s="123">
        <v>2</v>
      </c>
      <c r="G1665" s="337"/>
      <c r="H1665" s="337"/>
      <c r="I1665" s="329"/>
      <c r="J1665" s="329"/>
      <c r="K1665" s="329"/>
      <c r="L1665" s="329"/>
      <c r="M1665" s="329"/>
      <c r="N1665" s="329"/>
    </row>
    <row r="1666" spans="1:14" ht="10.5" customHeight="1">
      <c r="A1666" s="394"/>
      <c r="B1666" s="396" t="s">
        <v>270</v>
      </c>
      <c r="C1666" s="408"/>
      <c r="D1666" s="322"/>
      <c r="E1666" s="78">
        <v>270</v>
      </c>
      <c r="F1666" s="123" t="s">
        <v>258</v>
      </c>
      <c r="G1666" s="337"/>
      <c r="H1666" s="337"/>
      <c r="I1666" s="329"/>
      <c r="J1666" s="329"/>
      <c r="K1666" s="329"/>
      <c r="L1666" s="329"/>
      <c r="M1666" s="329"/>
      <c r="N1666" s="329"/>
    </row>
    <row r="1667" spans="1:14" ht="10.5" customHeight="1">
      <c r="A1667" s="394"/>
      <c r="B1667" s="396"/>
      <c r="C1667" s="408"/>
      <c r="D1667" s="322"/>
      <c r="E1667" s="78">
        <f>150</f>
        <v>150</v>
      </c>
      <c r="F1667" s="123">
        <v>4</v>
      </c>
      <c r="G1667" s="337"/>
      <c r="H1667" s="337"/>
      <c r="I1667" s="329"/>
      <c r="J1667" s="329"/>
      <c r="K1667" s="329"/>
      <c r="L1667" s="329"/>
      <c r="M1667" s="329"/>
      <c r="N1667" s="329"/>
    </row>
    <row r="1668" spans="1:14" ht="10.5" customHeight="1">
      <c r="A1668" s="394"/>
      <c r="B1668" s="396"/>
      <c r="C1668" s="408"/>
      <c r="D1668" s="322"/>
      <c r="E1668" s="78">
        <f>E1664+E1665+E1667</f>
        <v>5762.84</v>
      </c>
      <c r="F1668" s="123">
        <v>5</v>
      </c>
      <c r="G1668" s="337"/>
      <c r="H1668" s="581"/>
      <c r="I1668" s="329"/>
      <c r="J1668" s="329"/>
      <c r="K1668" s="329"/>
      <c r="L1668" s="329"/>
      <c r="M1668" s="329"/>
      <c r="N1668" s="329"/>
    </row>
    <row r="1669" spans="1:14" ht="10.5" customHeight="1">
      <c r="A1669" s="394"/>
      <c r="B1669" s="396"/>
      <c r="C1669" s="408"/>
      <c r="D1669" s="322">
        <v>2014</v>
      </c>
      <c r="E1669" s="78">
        <f>144.48+78.11+200+70+783+228.4+8.1+630+11.7+300</f>
        <v>2453.79</v>
      </c>
      <c r="F1669" s="123">
        <v>1</v>
      </c>
      <c r="G1669" s="337">
        <v>1</v>
      </c>
      <c r="H1669" s="337">
        <v>2603.96</v>
      </c>
      <c r="I1669" s="329">
        <v>0.094</v>
      </c>
      <c r="J1669" s="329"/>
      <c r="K1669" s="329">
        <v>0.235</v>
      </c>
      <c r="L1669" s="329">
        <v>0.184</v>
      </c>
      <c r="M1669" s="329">
        <v>3.369</v>
      </c>
      <c r="N1669" s="329">
        <v>0.165</v>
      </c>
    </row>
    <row r="1670" spans="1:14" ht="10.5" customHeight="1">
      <c r="A1670" s="394"/>
      <c r="B1670" s="396"/>
      <c r="C1670" s="408"/>
      <c r="D1670" s="322"/>
      <c r="E1670" s="78">
        <v>4733</v>
      </c>
      <c r="F1670" s="123">
        <v>2</v>
      </c>
      <c r="G1670" s="337"/>
      <c r="H1670" s="337"/>
      <c r="I1670" s="329"/>
      <c r="J1670" s="329"/>
      <c r="K1670" s="329"/>
      <c r="L1670" s="329"/>
      <c r="M1670" s="329"/>
      <c r="N1670" s="329"/>
    </row>
    <row r="1671" spans="1:14" ht="10.5" customHeight="1">
      <c r="A1671" s="394"/>
      <c r="B1671" s="396"/>
      <c r="C1671" s="408"/>
      <c r="D1671" s="322"/>
      <c r="E1671" s="78">
        <v>460</v>
      </c>
      <c r="F1671" s="123" t="s">
        <v>258</v>
      </c>
      <c r="G1671" s="337"/>
      <c r="H1671" s="337"/>
      <c r="I1671" s="329"/>
      <c r="J1671" s="329"/>
      <c r="K1671" s="329"/>
      <c r="L1671" s="329"/>
      <c r="M1671" s="329"/>
      <c r="N1671" s="329"/>
    </row>
    <row r="1672" spans="1:14" ht="10.5" customHeight="1">
      <c r="A1672" s="394"/>
      <c r="B1672" s="396"/>
      <c r="C1672" s="408"/>
      <c r="D1672" s="322"/>
      <c r="E1672" s="78">
        <f>150</f>
        <v>150</v>
      </c>
      <c r="F1672" s="123">
        <v>4</v>
      </c>
      <c r="G1672" s="337"/>
      <c r="H1672" s="337"/>
      <c r="I1672" s="329"/>
      <c r="J1672" s="329"/>
      <c r="K1672" s="329"/>
      <c r="L1672" s="329"/>
      <c r="M1672" s="329"/>
      <c r="N1672" s="329"/>
    </row>
    <row r="1673" spans="1:14" ht="9.75" customHeight="1">
      <c r="A1673" s="394"/>
      <c r="B1673" s="396"/>
      <c r="C1673" s="408"/>
      <c r="D1673" s="322"/>
      <c r="E1673" s="78">
        <f>E1669+E1670+E1672</f>
        <v>7336.79</v>
      </c>
      <c r="F1673" s="123">
        <v>5</v>
      </c>
      <c r="G1673" s="337"/>
      <c r="H1673" s="581"/>
      <c r="I1673" s="329"/>
      <c r="J1673" s="329"/>
      <c r="K1673" s="329"/>
      <c r="L1673" s="329"/>
      <c r="M1673" s="329"/>
      <c r="N1673" s="329"/>
    </row>
    <row r="1674" spans="1:14" ht="10.5" customHeight="1">
      <c r="A1674" s="394"/>
      <c r="B1674" s="396"/>
      <c r="C1674" s="408"/>
      <c r="D1674" s="322">
        <v>2015</v>
      </c>
      <c r="E1674" s="78">
        <v>2215.01</v>
      </c>
      <c r="F1674" s="123">
        <v>1</v>
      </c>
      <c r="G1674" s="337">
        <v>0.76</v>
      </c>
      <c r="H1674" s="337">
        <v>2099.14</v>
      </c>
      <c r="I1674" s="329">
        <v>0.067</v>
      </c>
      <c r="J1674" s="329"/>
      <c r="K1674" s="329">
        <v>0.065</v>
      </c>
      <c r="L1674" s="329">
        <v>0.184</v>
      </c>
      <c r="M1674" s="329">
        <v>2.793</v>
      </c>
      <c r="N1674" s="329"/>
    </row>
    <row r="1675" spans="1:14" ht="9.75" customHeight="1">
      <c r="A1675" s="394"/>
      <c r="B1675" s="396"/>
      <c r="C1675" s="408"/>
      <c r="D1675" s="322"/>
      <c r="E1675" s="78">
        <v>5305.28</v>
      </c>
      <c r="F1675" s="123">
        <v>2</v>
      </c>
      <c r="G1675" s="337"/>
      <c r="H1675" s="337"/>
      <c r="I1675" s="329"/>
      <c r="J1675" s="329"/>
      <c r="K1675" s="329"/>
      <c r="L1675" s="329"/>
      <c r="M1675" s="329"/>
      <c r="N1675" s="329"/>
    </row>
    <row r="1676" spans="1:14" ht="10.5" customHeight="1">
      <c r="A1676" s="394"/>
      <c r="B1676" s="396"/>
      <c r="C1676" s="408"/>
      <c r="D1676" s="322"/>
      <c r="E1676" s="78">
        <v>250</v>
      </c>
      <c r="F1676" s="123" t="s">
        <v>258</v>
      </c>
      <c r="G1676" s="337"/>
      <c r="H1676" s="337"/>
      <c r="I1676" s="329"/>
      <c r="J1676" s="329"/>
      <c r="K1676" s="329"/>
      <c r="L1676" s="329"/>
      <c r="M1676" s="329"/>
      <c r="N1676" s="329"/>
    </row>
    <row r="1677" spans="1:14" ht="9.75" customHeight="1">
      <c r="A1677" s="394"/>
      <c r="B1677" s="396"/>
      <c r="C1677" s="408"/>
      <c r="D1677" s="322"/>
      <c r="E1677" s="78">
        <f>600+150+200</f>
        <v>950</v>
      </c>
      <c r="F1677" s="123">
        <v>4</v>
      </c>
      <c r="G1677" s="337"/>
      <c r="H1677" s="337"/>
      <c r="I1677" s="329"/>
      <c r="J1677" s="329"/>
      <c r="K1677" s="329"/>
      <c r="L1677" s="329"/>
      <c r="M1677" s="329"/>
      <c r="N1677" s="329"/>
    </row>
    <row r="1678" spans="1:14" ht="10.5" customHeight="1">
      <c r="A1678" s="394"/>
      <c r="B1678" s="397"/>
      <c r="C1678" s="408"/>
      <c r="D1678" s="322"/>
      <c r="E1678" s="78">
        <f>E1674+E1675+E1677</f>
        <v>8470.29</v>
      </c>
      <c r="F1678" s="123">
        <v>5</v>
      </c>
      <c r="G1678" s="337"/>
      <c r="H1678" s="581"/>
      <c r="I1678" s="329"/>
      <c r="J1678" s="329"/>
      <c r="K1678" s="329"/>
      <c r="L1678" s="329"/>
      <c r="M1678" s="329"/>
      <c r="N1678" s="329"/>
    </row>
    <row r="1679" spans="1:14" ht="10.5" customHeight="1">
      <c r="A1679" s="394"/>
      <c r="B1679" s="395" t="s">
        <v>22</v>
      </c>
      <c r="C1679" s="408"/>
      <c r="D1679" s="407" t="s">
        <v>120</v>
      </c>
      <c r="E1679" s="78">
        <f>E1683+E1687+E1691+E1695+E1699</f>
        <v>974.9999999999999</v>
      </c>
      <c r="F1679" s="123">
        <v>1</v>
      </c>
      <c r="G1679" s="334">
        <f>SUM(G1683:G1702)</f>
        <v>1.68</v>
      </c>
      <c r="H1679" s="334">
        <f>SUM(H1683:H1702)</f>
        <v>2656.63</v>
      </c>
      <c r="I1679" s="304">
        <f>SUM(I1683:I1702)</f>
        <v>0.426</v>
      </c>
      <c r="J1679" s="304"/>
      <c r="K1679" s="304">
        <f>SUM(K1683:K1699)</f>
        <v>0.9389</v>
      </c>
      <c r="L1679" s="304">
        <f>SUM(L1683:L1699)</f>
        <v>0.378</v>
      </c>
      <c r="M1679" s="304">
        <f>SUM(M1683:M1699)</f>
        <v>1.374</v>
      </c>
      <c r="N1679" s="304"/>
    </row>
    <row r="1680" spans="1:14" ht="10.5" customHeight="1">
      <c r="A1680" s="394"/>
      <c r="B1680" s="396"/>
      <c r="C1680" s="408"/>
      <c r="D1680" s="331"/>
      <c r="E1680" s="78">
        <f>E1681</f>
        <v>12244.300000000001</v>
      </c>
      <c r="F1680" s="123">
        <v>2</v>
      </c>
      <c r="G1680" s="583"/>
      <c r="H1680" s="583"/>
      <c r="I1680" s="305"/>
      <c r="J1680" s="305"/>
      <c r="K1680" s="305"/>
      <c r="L1680" s="305"/>
      <c r="M1680" s="305"/>
      <c r="N1680" s="305"/>
    </row>
    <row r="1681" spans="1:14" ht="10.5" customHeight="1">
      <c r="A1681" s="394"/>
      <c r="B1681" s="396"/>
      <c r="C1681" s="408"/>
      <c r="D1681" s="338"/>
      <c r="E1681" s="78">
        <f>E1685+E1689+E1693+E1697+E1701</f>
        <v>12244.300000000001</v>
      </c>
      <c r="F1681" s="123" t="s">
        <v>258</v>
      </c>
      <c r="G1681" s="335"/>
      <c r="H1681" s="335"/>
      <c r="I1681" s="582"/>
      <c r="J1681" s="305"/>
      <c r="K1681" s="335"/>
      <c r="L1681" s="335"/>
      <c r="M1681" s="335"/>
      <c r="N1681" s="305"/>
    </row>
    <row r="1682" spans="1:14" ht="10.5" customHeight="1">
      <c r="A1682" s="394"/>
      <c r="B1682" s="396"/>
      <c r="C1682" s="408"/>
      <c r="D1682" s="339"/>
      <c r="E1682" s="78">
        <f>E1679+E1680</f>
        <v>13219.300000000001</v>
      </c>
      <c r="F1682" s="123">
        <v>5</v>
      </c>
      <c r="G1682" s="336"/>
      <c r="H1682" s="336"/>
      <c r="I1682" s="306"/>
      <c r="J1682" s="306"/>
      <c r="K1682" s="306"/>
      <c r="L1682" s="306"/>
      <c r="M1682" s="306"/>
      <c r="N1682" s="306"/>
    </row>
    <row r="1683" spans="1:14" ht="10.5" customHeight="1">
      <c r="A1683" s="394"/>
      <c r="B1683" s="396"/>
      <c r="C1683" s="408"/>
      <c r="D1683" s="407">
        <v>2011</v>
      </c>
      <c r="E1683" s="78">
        <f>138+58.3</f>
        <v>196.3</v>
      </c>
      <c r="F1683" s="123">
        <v>1</v>
      </c>
      <c r="G1683" s="334">
        <v>0.32</v>
      </c>
      <c r="H1683" s="334">
        <v>522.1</v>
      </c>
      <c r="I1683" s="304">
        <v>0.067</v>
      </c>
      <c r="J1683" s="304"/>
      <c r="K1683" s="304">
        <v>0.229</v>
      </c>
      <c r="L1683" s="304">
        <v>0.049</v>
      </c>
      <c r="M1683" s="304">
        <v>0.333</v>
      </c>
      <c r="N1683" s="304"/>
    </row>
    <row r="1684" spans="1:14" ht="10.5" customHeight="1">
      <c r="A1684" s="394"/>
      <c r="B1684" s="396"/>
      <c r="C1684" s="408"/>
      <c r="D1684" s="331"/>
      <c r="E1684" s="78">
        <f>E1685</f>
        <v>2883.8</v>
      </c>
      <c r="F1684" s="123">
        <v>2</v>
      </c>
      <c r="G1684" s="583"/>
      <c r="H1684" s="583"/>
      <c r="I1684" s="305"/>
      <c r="J1684" s="305"/>
      <c r="K1684" s="305"/>
      <c r="L1684" s="305"/>
      <c r="M1684" s="305"/>
      <c r="N1684" s="305"/>
    </row>
    <row r="1685" spans="1:14" ht="10.5" customHeight="1">
      <c r="A1685" s="394"/>
      <c r="B1685" s="396"/>
      <c r="C1685" s="408"/>
      <c r="D1685" s="338"/>
      <c r="E1685" s="78">
        <v>2883.8</v>
      </c>
      <c r="F1685" s="123" t="s">
        <v>258</v>
      </c>
      <c r="G1685" s="335"/>
      <c r="H1685" s="335"/>
      <c r="I1685" s="335"/>
      <c r="J1685" s="335"/>
      <c r="K1685" s="335"/>
      <c r="L1685" s="335"/>
      <c r="M1685" s="335"/>
      <c r="N1685" s="335"/>
    </row>
    <row r="1686" spans="1:14" ht="9.75" customHeight="1">
      <c r="A1686" s="394"/>
      <c r="B1686" s="396"/>
      <c r="C1686" s="408"/>
      <c r="D1686" s="339"/>
      <c r="E1686" s="78">
        <f>E1683+E1684</f>
        <v>3080.1000000000004</v>
      </c>
      <c r="F1686" s="123">
        <v>5</v>
      </c>
      <c r="G1686" s="585"/>
      <c r="H1686" s="585"/>
      <c r="I1686" s="585"/>
      <c r="J1686" s="585"/>
      <c r="K1686" s="585"/>
      <c r="L1686" s="585"/>
      <c r="M1686" s="585"/>
      <c r="N1686" s="585"/>
    </row>
    <row r="1687" spans="1:14" ht="10.5" customHeight="1">
      <c r="A1687" s="394"/>
      <c r="B1687" s="396"/>
      <c r="C1687" s="408"/>
      <c r="D1687" s="407">
        <v>2012</v>
      </c>
      <c r="E1687" s="78">
        <f>160+65</f>
        <v>225</v>
      </c>
      <c r="F1687" s="123">
        <v>1</v>
      </c>
      <c r="G1687" s="334">
        <v>0.3</v>
      </c>
      <c r="H1687" s="334">
        <v>485.15</v>
      </c>
      <c r="I1687" s="304">
        <v>0.066</v>
      </c>
      <c r="J1687" s="304"/>
      <c r="K1687" s="304">
        <v>0.229</v>
      </c>
      <c r="L1687" s="304">
        <v>0.034</v>
      </c>
      <c r="M1687" s="304">
        <v>0.294</v>
      </c>
      <c r="N1687" s="304"/>
    </row>
    <row r="1688" spans="1:14" ht="10.5" customHeight="1">
      <c r="A1688" s="394"/>
      <c r="B1688" s="396"/>
      <c r="C1688" s="408"/>
      <c r="D1688" s="331"/>
      <c r="E1688" s="78">
        <f>E1689</f>
        <v>5100.5</v>
      </c>
      <c r="F1688" s="123">
        <v>2</v>
      </c>
      <c r="G1688" s="583"/>
      <c r="H1688" s="583"/>
      <c r="I1688" s="305"/>
      <c r="J1688" s="305"/>
      <c r="K1688" s="305"/>
      <c r="L1688" s="305"/>
      <c r="M1688" s="305"/>
      <c r="N1688" s="305"/>
    </row>
    <row r="1689" spans="1:14" ht="10.5" customHeight="1">
      <c r="A1689" s="394"/>
      <c r="B1689" s="396"/>
      <c r="C1689" s="408"/>
      <c r="D1689" s="338"/>
      <c r="E1689" s="78">
        <v>5100.5</v>
      </c>
      <c r="F1689" s="123" t="s">
        <v>258</v>
      </c>
      <c r="G1689" s="335"/>
      <c r="H1689" s="335"/>
      <c r="I1689" s="335"/>
      <c r="J1689" s="305"/>
      <c r="K1689" s="335"/>
      <c r="L1689" s="335"/>
      <c r="M1689" s="335"/>
      <c r="N1689" s="305"/>
    </row>
    <row r="1690" spans="1:14" ht="10.5" customHeight="1">
      <c r="A1690" s="394"/>
      <c r="B1690" s="396"/>
      <c r="C1690" s="408"/>
      <c r="D1690" s="339"/>
      <c r="E1690" s="78">
        <f>E1687+E1688</f>
        <v>5325.5</v>
      </c>
      <c r="F1690" s="123">
        <v>5</v>
      </c>
      <c r="G1690" s="336"/>
      <c r="H1690" s="336"/>
      <c r="I1690" s="306"/>
      <c r="J1690" s="306"/>
      <c r="K1690" s="306"/>
      <c r="L1690" s="306"/>
      <c r="M1690" s="306"/>
      <c r="N1690" s="306"/>
    </row>
    <row r="1691" spans="1:14" ht="10.5" customHeight="1">
      <c r="A1691" s="394"/>
      <c r="B1691" s="396"/>
      <c r="C1691" s="408"/>
      <c r="D1691" s="407">
        <v>2013</v>
      </c>
      <c r="E1691" s="78">
        <f>180+70</f>
        <v>250</v>
      </c>
      <c r="F1691" s="123">
        <v>1</v>
      </c>
      <c r="G1691" s="334">
        <v>0.28</v>
      </c>
      <c r="H1691" s="334">
        <v>452.86</v>
      </c>
      <c r="I1691" s="304">
        <v>0.054</v>
      </c>
      <c r="J1691" s="304"/>
      <c r="K1691" s="304">
        <v>0.0229</v>
      </c>
      <c r="L1691" s="304">
        <v>0.015</v>
      </c>
      <c r="M1691" s="304">
        <v>0.296</v>
      </c>
      <c r="N1691" s="304"/>
    </row>
    <row r="1692" spans="1:14" ht="10.5" customHeight="1">
      <c r="A1692" s="394"/>
      <c r="B1692" s="396"/>
      <c r="C1692" s="408"/>
      <c r="D1692" s="331"/>
      <c r="E1692" s="78">
        <f>E1693</f>
        <v>1506.8</v>
      </c>
      <c r="F1692" s="123">
        <v>2</v>
      </c>
      <c r="G1692" s="583"/>
      <c r="H1692" s="583"/>
      <c r="I1692" s="305"/>
      <c r="J1692" s="305"/>
      <c r="K1692" s="305"/>
      <c r="L1692" s="305"/>
      <c r="M1692" s="305"/>
      <c r="N1692" s="305"/>
    </row>
    <row r="1693" spans="1:14" ht="10.5" customHeight="1">
      <c r="A1693" s="394"/>
      <c r="B1693" s="396"/>
      <c r="C1693" s="408"/>
      <c r="D1693" s="338"/>
      <c r="E1693" s="78">
        <f>13.3+237.5+890+366</f>
        <v>1506.8</v>
      </c>
      <c r="F1693" s="123" t="s">
        <v>258</v>
      </c>
      <c r="G1693" s="335"/>
      <c r="H1693" s="335"/>
      <c r="I1693" s="335"/>
      <c r="J1693" s="305"/>
      <c r="K1693" s="335"/>
      <c r="L1693" s="335"/>
      <c r="M1693" s="335"/>
      <c r="N1693" s="305"/>
    </row>
    <row r="1694" spans="1:14" ht="10.5" customHeight="1">
      <c r="A1694" s="413"/>
      <c r="B1694" s="397"/>
      <c r="C1694" s="409"/>
      <c r="D1694" s="339"/>
      <c r="E1694" s="78">
        <f>E1691+E1692</f>
        <v>1756.8</v>
      </c>
      <c r="F1694" s="123">
        <v>5</v>
      </c>
      <c r="G1694" s="336"/>
      <c r="H1694" s="336"/>
      <c r="I1694" s="306"/>
      <c r="J1694" s="306"/>
      <c r="K1694" s="306"/>
      <c r="L1694" s="306"/>
      <c r="M1694" s="306"/>
      <c r="N1694" s="306"/>
    </row>
    <row r="1695" spans="1:14" ht="10.5" customHeight="1">
      <c r="A1695" s="152"/>
      <c r="B1695" s="395"/>
      <c r="C1695" s="18"/>
      <c r="D1695" s="407">
        <v>2014</v>
      </c>
      <c r="E1695" s="78">
        <f>97+58.3</f>
        <v>155.3</v>
      </c>
      <c r="F1695" s="123">
        <v>1</v>
      </c>
      <c r="G1695" s="334">
        <v>0.27</v>
      </c>
      <c r="H1695" s="334">
        <v>405.26</v>
      </c>
      <c r="I1695" s="304">
        <v>0.054</v>
      </c>
      <c r="J1695" s="304"/>
      <c r="K1695" s="304">
        <v>0.229</v>
      </c>
      <c r="L1695" s="304">
        <v>0.015</v>
      </c>
      <c r="M1695" s="304">
        <v>0.228</v>
      </c>
      <c r="N1695" s="304"/>
    </row>
    <row r="1696" spans="1:14" ht="10.5" customHeight="1">
      <c r="A1696" s="171"/>
      <c r="B1696" s="396"/>
      <c r="C1696" s="81"/>
      <c r="D1696" s="331"/>
      <c r="E1696" s="78">
        <f>E1697</f>
        <v>1284.6</v>
      </c>
      <c r="F1696" s="123">
        <v>2</v>
      </c>
      <c r="G1696" s="583"/>
      <c r="H1696" s="583"/>
      <c r="I1696" s="305"/>
      <c r="J1696" s="305"/>
      <c r="K1696" s="305"/>
      <c r="L1696" s="305"/>
      <c r="M1696" s="305"/>
      <c r="N1696" s="305"/>
    </row>
    <row r="1697" spans="1:14" ht="10.5" customHeight="1">
      <c r="A1697" s="171"/>
      <c r="B1697" s="396"/>
      <c r="C1697" s="81"/>
      <c r="D1697" s="338"/>
      <c r="E1697" s="78">
        <f>13.6+905+366</f>
        <v>1284.6</v>
      </c>
      <c r="F1697" s="123" t="s">
        <v>258</v>
      </c>
      <c r="G1697" s="335"/>
      <c r="H1697" s="335"/>
      <c r="I1697" s="335"/>
      <c r="J1697" s="305"/>
      <c r="K1697" s="335"/>
      <c r="L1697" s="335"/>
      <c r="M1697" s="335"/>
      <c r="N1697" s="305"/>
    </row>
    <row r="1698" spans="1:14" ht="11.25" customHeight="1">
      <c r="A1698" s="171"/>
      <c r="B1698" s="396"/>
      <c r="C1698" s="81"/>
      <c r="D1698" s="339"/>
      <c r="E1698" s="78">
        <f>E1695+E1696</f>
        <v>1439.8999999999999</v>
      </c>
      <c r="F1698" s="123">
        <v>5</v>
      </c>
      <c r="G1698" s="336"/>
      <c r="H1698" s="336"/>
      <c r="I1698" s="306"/>
      <c r="J1698" s="306"/>
      <c r="K1698" s="306"/>
      <c r="L1698" s="306"/>
      <c r="M1698" s="306"/>
      <c r="N1698" s="306"/>
    </row>
    <row r="1699" spans="1:14" ht="10.5" customHeight="1">
      <c r="A1699" s="171"/>
      <c r="B1699" s="396"/>
      <c r="C1699" s="81"/>
      <c r="D1699" s="407">
        <v>2015</v>
      </c>
      <c r="E1699" s="78">
        <f>90+58.4</f>
        <v>148.4</v>
      </c>
      <c r="F1699" s="123">
        <v>1</v>
      </c>
      <c r="G1699" s="334">
        <v>0.51</v>
      </c>
      <c r="H1699" s="334">
        <v>791.26</v>
      </c>
      <c r="I1699" s="304">
        <v>0.185</v>
      </c>
      <c r="J1699" s="304"/>
      <c r="K1699" s="304">
        <v>0.229</v>
      </c>
      <c r="L1699" s="304">
        <v>0.265</v>
      </c>
      <c r="M1699" s="304">
        <v>0.223</v>
      </c>
      <c r="N1699" s="304"/>
    </row>
    <row r="1700" spans="1:14" ht="10.5" customHeight="1">
      <c r="A1700" s="171"/>
      <c r="B1700" s="396"/>
      <c r="C1700" s="81"/>
      <c r="D1700" s="331"/>
      <c r="E1700" s="78">
        <f>E1701</f>
        <v>1468.6</v>
      </c>
      <c r="F1700" s="123">
        <v>2</v>
      </c>
      <c r="G1700" s="583"/>
      <c r="H1700" s="583"/>
      <c r="I1700" s="305"/>
      <c r="J1700" s="305"/>
      <c r="K1700" s="305"/>
      <c r="L1700" s="305"/>
      <c r="M1700" s="305"/>
      <c r="N1700" s="305"/>
    </row>
    <row r="1701" spans="1:14" ht="10.5" customHeight="1">
      <c r="A1701" s="171"/>
      <c r="B1701" s="396"/>
      <c r="C1701" s="81"/>
      <c r="D1701" s="338"/>
      <c r="E1701" s="78">
        <f>60+65+20+19+33.6+905+366</f>
        <v>1468.6</v>
      </c>
      <c r="F1701" s="123" t="s">
        <v>258</v>
      </c>
      <c r="G1701" s="335"/>
      <c r="H1701" s="335"/>
      <c r="I1701" s="335"/>
      <c r="J1701" s="305"/>
      <c r="K1701" s="335"/>
      <c r="L1701" s="335"/>
      <c r="M1701" s="335"/>
      <c r="N1701" s="305"/>
    </row>
    <row r="1702" spans="1:14" ht="10.5" customHeight="1">
      <c r="A1702" s="172"/>
      <c r="B1702" s="397"/>
      <c r="C1702" s="162"/>
      <c r="D1702" s="339"/>
      <c r="E1702" s="78">
        <f>E1699+E1700</f>
        <v>1617</v>
      </c>
      <c r="F1702" s="123">
        <v>5</v>
      </c>
      <c r="G1702" s="336"/>
      <c r="H1702" s="336"/>
      <c r="I1702" s="306"/>
      <c r="J1702" s="306"/>
      <c r="K1702" s="306"/>
      <c r="L1702" s="306"/>
      <c r="M1702" s="306"/>
      <c r="N1702" s="306"/>
    </row>
    <row r="1703" spans="1:14" ht="11.25" customHeight="1">
      <c r="A1703" s="401">
        <v>150</v>
      </c>
      <c r="B1703" s="395" t="s">
        <v>477</v>
      </c>
      <c r="C1703" s="407" t="s">
        <v>265</v>
      </c>
      <c r="D1703" s="322" t="s">
        <v>120</v>
      </c>
      <c r="E1703" s="78">
        <f>E1708+E1713+E1718+E1723+E1728</f>
        <v>311.8</v>
      </c>
      <c r="F1703" s="123">
        <v>1</v>
      </c>
      <c r="G1703" s="337">
        <f>SUM(G1708:G1732)</f>
        <v>3.5999999999999996</v>
      </c>
      <c r="H1703" s="337">
        <f>SUM(H1708:H1732)</f>
        <v>9555.46</v>
      </c>
      <c r="I1703" s="329"/>
      <c r="J1703" s="329"/>
      <c r="K1703" s="329"/>
      <c r="L1703" s="329">
        <f>SUM(L1708:L1732)</f>
        <v>9.675</v>
      </c>
      <c r="M1703" s="329">
        <f>SUM(M1708:M1732)</f>
        <v>1.409</v>
      </c>
      <c r="N1703" s="329"/>
    </row>
    <row r="1704" spans="1:14" ht="9.75" customHeight="1">
      <c r="A1704" s="402"/>
      <c r="B1704" s="396"/>
      <c r="C1704" s="331"/>
      <c r="D1704" s="322"/>
      <c r="E1704" s="78">
        <f>E1709+E1714+E1719+E1724+E1729</f>
        <v>2954.8700000000003</v>
      </c>
      <c r="F1704" s="123">
        <v>2</v>
      </c>
      <c r="G1704" s="337"/>
      <c r="H1704" s="337"/>
      <c r="I1704" s="329"/>
      <c r="J1704" s="329"/>
      <c r="K1704" s="329"/>
      <c r="L1704" s="329"/>
      <c r="M1704" s="329"/>
      <c r="N1704" s="329"/>
    </row>
    <row r="1705" spans="1:14" ht="10.5" customHeight="1">
      <c r="A1705" s="402"/>
      <c r="B1705" s="396"/>
      <c r="C1705" s="331"/>
      <c r="D1705" s="322"/>
      <c r="E1705" s="78">
        <f>E1710+E1715+E1720+E1725+E1730</f>
        <v>674.0000000000001</v>
      </c>
      <c r="F1705" s="123">
        <v>3</v>
      </c>
      <c r="G1705" s="337"/>
      <c r="H1705" s="337"/>
      <c r="I1705" s="329"/>
      <c r="J1705" s="329"/>
      <c r="K1705" s="329"/>
      <c r="L1705" s="329"/>
      <c r="M1705" s="329"/>
      <c r="N1705" s="329"/>
    </row>
    <row r="1706" spans="1:14" ht="11.25" customHeight="1">
      <c r="A1706" s="402"/>
      <c r="B1706" s="396"/>
      <c r="C1706" s="331"/>
      <c r="D1706" s="322"/>
      <c r="E1706" s="78">
        <f>E1711+E1716+E1721+E1726+E1731</f>
        <v>635.8000000000001</v>
      </c>
      <c r="F1706" s="123">
        <v>4</v>
      </c>
      <c r="G1706" s="337"/>
      <c r="H1706" s="337"/>
      <c r="I1706" s="329"/>
      <c r="J1706" s="329"/>
      <c r="K1706" s="329"/>
      <c r="L1706" s="329"/>
      <c r="M1706" s="329"/>
      <c r="N1706" s="329"/>
    </row>
    <row r="1707" spans="1:14" ht="9.75" customHeight="1">
      <c r="A1707" s="402"/>
      <c r="B1707" s="396"/>
      <c r="C1707" s="331"/>
      <c r="D1707" s="322"/>
      <c r="E1707" s="78">
        <f>SUM(E1703:E1706)</f>
        <v>4576.47</v>
      </c>
      <c r="F1707" s="123">
        <v>5</v>
      </c>
      <c r="G1707" s="337"/>
      <c r="H1707" s="337"/>
      <c r="I1707" s="329"/>
      <c r="J1707" s="329"/>
      <c r="K1707" s="329"/>
      <c r="L1707" s="329"/>
      <c r="M1707" s="329"/>
      <c r="N1707" s="329"/>
    </row>
    <row r="1708" spans="1:14" ht="10.5" customHeight="1">
      <c r="A1708" s="394"/>
      <c r="B1708" s="398"/>
      <c r="C1708" s="408"/>
      <c r="D1708" s="322">
        <v>2011</v>
      </c>
      <c r="E1708" s="78">
        <f>0.2+11.7+0.6+1.35+54</f>
        <v>67.85</v>
      </c>
      <c r="F1708" s="123">
        <v>1</v>
      </c>
      <c r="G1708" s="337">
        <v>0.83</v>
      </c>
      <c r="H1708" s="337">
        <v>1208.18</v>
      </c>
      <c r="I1708" s="329"/>
      <c r="J1708" s="329"/>
      <c r="K1708" s="329"/>
      <c r="L1708" s="329">
        <v>2.346</v>
      </c>
      <c r="M1708" s="329">
        <v>0.017</v>
      </c>
      <c r="N1708" s="329"/>
    </row>
    <row r="1709" spans="1:14" ht="10.5" customHeight="1">
      <c r="A1709" s="394"/>
      <c r="B1709" s="398"/>
      <c r="C1709" s="408"/>
      <c r="D1709" s="322"/>
      <c r="E1709" s="78">
        <f>61+29+15.6+1.8+2.7+1.2+1.3+75+7+1.3+14.8+81.4+14+13.76+91.68+118.7+5.6+2+62.2+3+19.3+15.93+28.23+20.63+3+20+0.15+6+44.89</f>
        <v>761.17</v>
      </c>
      <c r="F1709" s="123">
        <v>2</v>
      </c>
      <c r="G1709" s="337"/>
      <c r="H1709" s="337"/>
      <c r="I1709" s="329"/>
      <c r="J1709" s="329"/>
      <c r="K1709" s="329"/>
      <c r="L1709" s="329"/>
      <c r="M1709" s="329"/>
      <c r="N1709" s="329"/>
    </row>
    <row r="1710" spans="1:14" ht="11.25" customHeight="1">
      <c r="A1710" s="394"/>
      <c r="B1710" s="398"/>
      <c r="C1710" s="408"/>
      <c r="D1710" s="322"/>
      <c r="E1710" s="78">
        <f>7+3+120.56+2.8</f>
        <v>133.36</v>
      </c>
      <c r="F1710" s="123">
        <v>3</v>
      </c>
      <c r="G1710" s="337"/>
      <c r="H1710" s="337"/>
      <c r="I1710" s="329"/>
      <c r="J1710" s="329"/>
      <c r="K1710" s="329"/>
      <c r="L1710" s="329"/>
      <c r="M1710" s="329"/>
      <c r="N1710" s="329"/>
    </row>
    <row r="1711" spans="1:14" ht="11.25" customHeight="1">
      <c r="A1711" s="394"/>
      <c r="B1711" s="398"/>
      <c r="C1711" s="408"/>
      <c r="D1711" s="322"/>
      <c r="E1711" s="78">
        <f>36.95+14+8+39.46+156.4+10+3+6.05</f>
        <v>273.86</v>
      </c>
      <c r="F1711" s="123">
        <v>4</v>
      </c>
      <c r="G1711" s="337"/>
      <c r="H1711" s="337"/>
      <c r="I1711" s="329"/>
      <c r="J1711" s="329"/>
      <c r="K1711" s="329"/>
      <c r="L1711" s="329"/>
      <c r="M1711" s="329"/>
      <c r="N1711" s="329"/>
    </row>
    <row r="1712" spans="1:14" ht="10.5" customHeight="1">
      <c r="A1712" s="394"/>
      <c r="B1712" s="398"/>
      <c r="C1712" s="408"/>
      <c r="D1712" s="322"/>
      <c r="E1712" s="78">
        <f>SUM(E1708:E1711)</f>
        <v>1236.24</v>
      </c>
      <c r="F1712" s="123">
        <v>5</v>
      </c>
      <c r="G1712" s="337"/>
      <c r="H1712" s="337"/>
      <c r="I1712" s="329"/>
      <c r="J1712" s="329"/>
      <c r="K1712" s="329"/>
      <c r="L1712" s="329"/>
      <c r="M1712" s="329"/>
      <c r="N1712" s="329"/>
    </row>
    <row r="1713" spans="1:14" ht="11.25" customHeight="1">
      <c r="A1713" s="394"/>
      <c r="B1713" s="398"/>
      <c r="C1713" s="408"/>
      <c r="D1713" s="322">
        <v>2012</v>
      </c>
      <c r="E1713" s="78">
        <f>0.2+11.7+0.6+0.9+54</f>
        <v>67.4</v>
      </c>
      <c r="F1713" s="123">
        <v>1</v>
      </c>
      <c r="G1713" s="337">
        <v>0.7</v>
      </c>
      <c r="H1713" s="337">
        <v>2086.82</v>
      </c>
      <c r="I1713" s="329"/>
      <c r="J1713" s="329"/>
      <c r="K1713" s="329"/>
      <c r="L1713" s="329">
        <v>1.969</v>
      </c>
      <c r="M1713" s="329">
        <v>0.086</v>
      </c>
      <c r="N1713" s="329"/>
    </row>
    <row r="1714" spans="1:14" ht="10.5" customHeight="1">
      <c r="A1714" s="394"/>
      <c r="B1714" s="398"/>
      <c r="C1714" s="408"/>
      <c r="D1714" s="322"/>
      <c r="E1714" s="78">
        <f>117.02+61+30+14+15.8+1.8+5+1.3+7+1.4+14.8+81.4+14+8.32+9.68+119.8+5.6+2+1+21.9+15.33+28.23+3+20+0.1+6+32.15</f>
        <v>637.6300000000001</v>
      </c>
      <c r="F1714" s="123">
        <v>2</v>
      </c>
      <c r="G1714" s="337"/>
      <c r="H1714" s="337"/>
      <c r="I1714" s="329"/>
      <c r="J1714" s="329"/>
      <c r="K1714" s="329"/>
      <c r="L1714" s="329"/>
      <c r="M1714" s="329"/>
      <c r="N1714" s="329"/>
    </row>
    <row r="1715" spans="1:14" ht="10.5" customHeight="1">
      <c r="A1715" s="394"/>
      <c r="B1715" s="398"/>
      <c r="C1715" s="408"/>
      <c r="D1715" s="322"/>
      <c r="E1715" s="78">
        <f>8+3.5+120.36+2.8</f>
        <v>134.66000000000003</v>
      </c>
      <c r="F1715" s="123">
        <v>3</v>
      </c>
      <c r="G1715" s="337"/>
      <c r="H1715" s="337"/>
      <c r="I1715" s="329"/>
      <c r="J1715" s="329"/>
      <c r="K1715" s="329"/>
      <c r="L1715" s="329"/>
      <c r="M1715" s="329"/>
      <c r="N1715" s="329"/>
    </row>
    <row r="1716" spans="1:14" ht="11.25" customHeight="1">
      <c r="A1716" s="394"/>
      <c r="B1716" s="398"/>
      <c r="C1716" s="408"/>
      <c r="D1716" s="322"/>
      <c r="E1716" s="78">
        <f>31.5+14+8.8+39.46+10+3+6.05</f>
        <v>112.80999999999999</v>
      </c>
      <c r="F1716" s="123">
        <v>4</v>
      </c>
      <c r="G1716" s="337"/>
      <c r="H1716" s="337"/>
      <c r="I1716" s="329"/>
      <c r="J1716" s="329"/>
      <c r="K1716" s="329"/>
      <c r="L1716" s="329"/>
      <c r="M1716" s="329"/>
      <c r="N1716" s="329"/>
    </row>
    <row r="1717" spans="1:14" ht="10.5" customHeight="1">
      <c r="A1717" s="394"/>
      <c r="B1717" s="398"/>
      <c r="C1717" s="408"/>
      <c r="D1717" s="322"/>
      <c r="E1717" s="78">
        <f>SUM(E1713:E1716)</f>
        <v>952.5</v>
      </c>
      <c r="F1717" s="123">
        <v>5</v>
      </c>
      <c r="G1717" s="337"/>
      <c r="H1717" s="337"/>
      <c r="I1717" s="329"/>
      <c r="J1717" s="329"/>
      <c r="K1717" s="329"/>
      <c r="L1717" s="329"/>
      <c r="M1717" s="329"/>
      <c r="N1717" s="329"/>
    </row>
    <row r="1718" spans="1:14" ht="10.5" customHeight="1">
      <c r="A1718" s="394"/>
      <c r="B1718" s="398"/>
      <c r="C1718" s="408"/>
      <c r="D1718" s="322">
        <v>2013</v>
      </c>
      <c r="E1718" s="78">
        <f>0.2+1.8+0.6+0.9+54</f>
        <v>57.5</v>
      </c>
      <c r="F1718" s="123">
        <v>1</v>
      </c>
      <c r="G1718" s="337">
        <v>0.67</v>
      </c>
      <c r="H1718" s="337">
        <v>2086.82</v>
      </c>
      <c r="I1718" s="329"/>
      <c r="J1718" s="329"/>
      <c r="K1718" s="329"/>
      <c r="L1718" s="329">
        <v>1.797</v>
      </c>
      <c r="M1718" s="329">
        <v>0.25</v>
      </c>
      <c r="N1718" s="329"/>
    </row>
    <row r="1719" spans="1:14" ht="10.5" customHeight="1">
      <c r="A1719" s="394"/>
      <c r="B1719" s="398"/>
      <c r="C1719" s="408"/>
      <c r="D1719" s="322"/>
      <c r="E1719" s="78">
        <f>56.42+61+24+15.7+1.8+5+0.2+7+1.5+14.8+81.4+14+8.31+9.68+108.6+5.6+2.5+25.4+14.83+28.23+3+20+0.1+6+32.15</f>
        <v>547.2200000000001</v>
      </c>
      <c r="F1719" s="123">
        <v>2</v>
      </c>
      <c r="G1719" s="337"/>
      <c r="H1719" s="337"/>
      <c r="I1719" s="329"/>
      <c r="J1719" s="329"/>
      <c r="K1719" s="329"/>
      <c r="L1719" s="329"/>
      <c r="M1719" s="329"/>
      <c r="N1719" s="329"/>
    </row>
    <row r="1720" spans="1:14" ht="10.5" customHeight="1">
      <c r="A1720" s="394"/>
      <c r="B1720" s="398"/>
      <c r="C1720" s="408"/>
      <c r="D1720" s="322"/>
      <c r="E1720" s="78">
        <f>9+3.5+120.36+2.8</f>
        <v>135.66000000000003</v>
      </c>
      <c r="F1720" s="123">
        <v>3</v>
      </c>
      <c r="G1720" s="337"/>
      <c r="H1720" s="337"/>
      <c r="I1720" s="329"/>
      <c r="J1720" s="329"/>
      <c r="K1720" s="329"/>
      <c r="L1720" s="329"/>
      <c r="M1720" s="329"/>
      <c r="N1720" s="329"/>
    </row>
    <row r="1721" spans="1:14" ht="9.75" customHeight="1">
      <c r="A1721" s="394"/>
      <c r="B1721" s="398"/>
      <c r="C1721" s="408"/>
      <c r="D1721" s="322"/>
      <c r="E1721" s="78">
        <f>1.5+14+9.6+39.46+10+3+6.05</f>
        <v>83.61</v>
      </c>
      <c r="F1721" s="123">
        <v>4</v>
      </c>
      <c r="G1721" s="337"/>
      <c r="H1721" s="337"/>
      <c r="I1721" s="329"/>
      <c r="J1721" s="329"/>
      <c r="K1721" s="329"/>
      <c r="L1721" s="329"/>
      <c r="M1721" s="329"/>
      <c r="N1721" s="329"/>
    </row>
    <row r="1722" spans="1:14" ht="9.75" customHeight="1">
      <c r="A1722" s="394"/>
      <c r="B1722" s="398"/>
      <c r="C1722" s="408"/>
      <c r="D1722" s="322"/>
      <c r="E1722" s="78">
        <f>SUM(E1718:E1721)</f>
        <v>823.9900000000001</v>
      </c>
      <c r="F1722" s="123">
        <v>5</v>
      </c>
      <c r="G1722" s="337"/>
      <c r="H1722" s="337"/>
      <c r="I1722" s="329"/>
      <c r="J1722" s="329"/>
      <c r="K1722" s="329"/>
      <c r="L1722" s="329"/>
      <c r="M1722" s="329"/>
      <c r="N1722" s="329"/>
    </row>
    <row r="1723" spans="1:14" ht="9.75" customHeight="1">
      <c r="A1723" s="394"/>
      <c r="B1723" s="398"/>
      <c r="C1723" s="408"/>
      <c r="D1723" s="322">
        <v>2014</v>
      </c>
      <c r="E1723" s="78">
        <f>0.2+3.6+0.6+1.35+54</f>
        <v>59.75</v>
      </c>
      <c r="F1723" s="123">
        <v>1</v>
      </c>
      <c r="G1723" s="337">
        <v>0.64</v>
      </c>
      <c r="H1723" s="337">
        <v>2086.82</v>
      </c>
      <c r="I1723" s="329"/>
      <c r="J1723" s="329"/>
      <c r="K1723" s="329"/>
      <c r="L1723" s="329">
        <v>1.806</v>
      </c>
      <c r="M1723" s="329">
        <v>0.036</v>
      </c>
      <c r="N1723" s="329"/>
    </row>
    <row r="1724" spans="1:14" ht="10.5" customHeight="1">
      <c r="A1724" s="394"/>
      <c r="B1724" s="398"/>
      <c r="C1724" s="408"/>
      <c r="D1724" s="322"/>
      <c r="E1724" s="78">
        <f>21.82+61+24+1.8+5+0.4+7+1.6+14.8+81.4+14+3.02+9.68+128.4+5.6+2.5+29.7+14.83+28.23+3+20+0.15+6+32.15</f>
        <v>516.08</v>
      </c>
      <c r="F1724" s="123">
        <v>2</v>
      </c>
      <c r="G1724" s="337"/>
      <c r="H1724" s="337"/>
      <c r="I1724" s="329"/>
      <c r="J1724" s="329"/>
      <c r="K1724" s="329"/>
      <c r="L1724" s="329"/>
      <c r="M1724" s="329"/>
      <c r="N1724" s="329"/>
    </row>
    <row r="1725" spans="1:14" ht="10.5" customHeight="1">
      <c r="A1725" s="394"/>
      <c r="B1725" s="398"/>
      <c r="C1725" s="408"/>
      <c r="D1725" s="322"/>
      <c r="E1725" s="78">
        <f>9+3.5+120.56+2.8</f>
        <v>135.86</v>
      </c>
      <c r="F1725" s="123">
        <v>3</v>
      </c>
      <c r="G1725" s="337"/>
      <c r="H1725" s="337"/>
      <c r="I1725" s="329"/>
      <c r="J1725" s="329"/>
      <c r="K1725" s="329"/>
      <c r="L1725" s="329"/>
      <c r="M1725" s="329"/>
      <c r="N1725" s="329"/>
    </row>
    <row r="1726" spans="1:14" ht="9.75" customHeight="1">
      <c r="A1726" s="394"/>
      <c r="B1726" s="398"/>
      <c r="C1726" s="408"/>
      <c r="D1726" s="322"/>
      <c r="E1726" s="78">
        <f>14+10+39.46+10+3+6.05</f>
        <v>82.51</v>
      </c>
      <c r="F1726" s="123">
        <v>4</v>
      </c>
      <c r="G1726" s="337"/>
      <c r="H1726" s="337"/>
      <c r="I1726" s="329"/>
      <c r="J1726" s="329"/>
      <c r="K1726" s="329"/>
      <c r="L1726" s="329"/>
      <c r="M1726" s="329"/>
      <c r="N1726" s="329"/>
    </row>
    <row r="1727" spans="1:14" ht="10.5" customHeight="1">
      <c r="A1727" s="394"/>
      <c r="B1727" s="398"/>
      <c r="C1727" s="408"/>
      <c r="D1727" s="322"/>
      <c r="E1727" s="78">
        <f>SUM(E1723:E1726)</f>
        <v>794.2</v>
      </c>
      <c r="F1727" s="123">
        <v>5</v>
      </c>
      <c r="G1727" s="337"/>
      <c r="H1727" s="337"/>
      <c r="I1727" s="329"/>
      <c r="J1727" s="329"/>
      <c r="K1727" s="329"/>
      <c r="L1727" s="329"/>
      <c r="M1727" s="329"/>
      <c r="N1727" s="329"/>
    </row>
    <row r="1728" spans="1:14" ht="10.5" customHeight="1">
      <c r="A1728" s="394"/>
      <c r="B1728" s="398"/>
      <c r="C1728" s="408"/>
      <c r="D1728" s="322">
        <v>2015</v>
      </c>
      <c r="E1728" s="78">
        <f>0.2+3.6+0.6+0.9+54</f>
        <v>59.3</v>
      </c>
      <c r="F1728" s="123">
        <v>1</v>
      </c>
      <c r="G1728" s="337">
        <v>0.76</v>
      </c>
      <c r="H1728" s="337">
        <v>2086.82</v>
      </c>
      <c r="I1728" s="329"/>
      <c r="J1728" s="329"/>
      <c r="K1728" s="329"/>
      <c r="L1728" s="329">
        <v>1.757</v>
      </c>
      <c r="M1728" s="329">
        <v>1.02</v>
      </c>
      <c r="N1728" s="329"/>
    </row>
    <row r="1729" spans="1:14" ht="10.5" customHeight="1">
      <c r="A1729" s="394"/>
      <c r="B1729" s="398"/>
      <c r="C1729" s="408"/>
      <c r="D1729" s="322"/>
      <c r="E1729" s="78">
        <f>6.1+61+24+1.8+5+0.4+7+1.7+14.8+81.4+14+3.02+9.68+117.4+5.6+2.5+34.86+13.03+28.23+3+20+0.1+6+32.15</f>
        <v>492.77000000000004</v>
      </c>
      <c r="F1729" s="123">
        <v>2</v>
      </c>
      <c r="G1729" s="337"/>
      <c r="H1729" s="337"/>
      <c r="I1729" s="329"/>
      <c r="J1729" s="329"/>
      <c r="K1729" s="329"/>
      <c r="L1729" s="329"/>
      <c r="M1729" s="329"/>
      <c r="N1729" s="329"/>
    </row>
    <row r="1730" spans="1:14" ht="10.5" customHeight="1">
      <c r="A1730" s="394"/>
      <c r="B1730" s="398"/>
      <c r="C1730" s="408"/>
      <c r="D1730" s="322"/>
      <c r="E1730" s="78">
        <f>9+3.5+120.56+1.4</f>
        <v>134.46</v>
      </c>
      <c r="F1730" s="123">
        <v>3</v>
      </c>
      <c r="G1730" s="337"/>
      <c r="H1730" s="337"/>
      <c r="I1730" s="329"/>
      <c r="J1730" s="329"/>
      <c r="K1730" s="329"/>
      <c r="L1730" s="329"/>
      <c r="M1730" s="329"/>
      <c r="N1730" s="329"/>
    </row>
    <row r="1731" spans="1:14" ht="10.5" customHeight="1">
      <c r="A1731" s="394"/>
      <c r="B1731" s="398"/>
      <c r="C1731" s="408"/>
      <c r="D1731" s="322"/>
      <c r="E1731" s="78">
        <f>14+10.5+39.46+10+3+6.05</f>
        <v>83.01</v>
      </c>
      <c r="F1731" s="123">
        <v>4</v>
      </c>
      <c r="G1731" s="337"/>
      <c r="H1731" s="337"/>
      <c r="I1731" s="329"/>
      <c r="J1731" s="329"/>
      <c r="K1731" s="329"/>
      <c r="L1731" s="329"/>
      <c r="M1731" s="329"/>
      <c r="N1731" s="329"/>
    </row>
    <row r="1732" spans="1:14" ht="9.75" customHeight="1">
      <c r="A1732" s="394"/>
      <c r="B1732" s="399"/>
      <c r="C1732" s="408"/>
      <c r="D1732" s="322"/>
      <c r="E1732" s="78">
        <f>SUM(E1728:E1731)</f>
        <v>769.5400000000001</v>
      </c>
      <c r="F1732" s="123">
        <v>5</v>
      </c>
      <c r="G1732" s="337"/>
      <c r="H1732" s="337"/>
      <c r="I1732" s="329"/>
      <c r="J1732" s="329"/>
      <c r="K1732" s="329"/>
      <c r="L1732" s="329"/>
      <c r="M1732" s="329"/>
      <c r="N1732" s="329"/>
    </row>
    <row r="1733" spans="1:14" ht="10.5" customHeight="1">
      <c r="A1733" s="394"/>
      <c r="B1733" s="395" t="s">
        <v>22</v>
      </c>
      <c r="C1733" s="408"/>
      <c r="D1733" s="407" t="s">
        <v>120</v>
      </c>
      <c r="E1733" s="78">
        <v>250</v>
      </c>
      <c r="F1733" s="123">
        <v>1</v>
      </c>
      <c r="G1733" s="334">
        <v>2.95</v>
      </c>
      <c r="H1733" s="334">
        <f>SUM(H1736:H1748)</f>
        <v>4276.35</v>
      </c>
      <c r="I1733" s="304"/>
      <c r="J1733" s="304"/>
      <c r="K1733" s="304"/>
      <c r="L1733" s="304">
        <f>SUM(L1736:L1748)</f>
        <v>8.385</v>
      </c>
      <c r="M1733" s="304"/>
      <c r="N1733" s="304"/>
    </row>
    <row r="1734" spans="1:14" ht="10.5" customHeight="1">
      <c r="A1734" s="394"/>
      <c r="B1734" s="396"/>
      <c r="C1734" s="408"/>
      <c r="D1734" s="338"/>
      <c r="E1734" s="78">
        <f>E1737+E1740+E1743+E1746+E1748</f>
        <v>2162.0499999999997</v>
      </c>
      <c r="F1734" s="123" t="s">
        <v>258</v>
      </c>
      <c r="G1734" s="335"/>
      <c r="H1734" s="335"/>
      <c r="I1734" s="305"/>
      <c r="J1734" s="305"/>
      <c r="K1734" s="305"/>
      <c r="L1734" s="335"/>
      <c r="M1734" s="305"/>
      <c r="N1734" s="305"/>
    </row>
    <row r="1735" spans="1:14" ht="10.5" customHeight="1">
      <c r="A1735" s="394"/>
      <c r="B1735" s="396"/>
      <c r="C1735" s="408"/>
      <c r="D1735" s="462"/>
      <c r="E1735" s="78">
        <f>E1733+E1734</f>
        <v>2412.0499999999997</v>
      </c>
      <c r="F1735" s="123">
        <v>5</v>
      </c>
      <c r="G1735" s="336"/>
      <c r="H1735" s="336"/>
      <c r="I1735" s="306"/>
      <c r="J1735" s="306"/>
      <c r="K1735" s="306"/>
      <c r="L1735" s="306"/>
      <c r="M1735" s="306"/>
      <c r="N1735" s="306"/>
    </row>
    <row r="1736" spans="1:14" ht="10.5" customHeight="1">
      <c r="A1736" s="394"/>
      <c r="B1736" s="396"/>
      <c r="C1736" s="408"/>
      <c r="D1736" s="407">
        <v>2011</v>
      </c>
      <c r="E1736" s="78">
        <v>100</v>
      </c>
      <c r="F1736" s="123">
        <v>1</v>
      </c>
      <c r="G1736" s="334">
        <v>0.63</v>
      </c>
      <c r="H1736" s="334">
        <v>908.31</v>
      </c>
      <c r="I1736" s="304"/>
      <c r="J1736" s="304"/>
      <c r="K1736" s="304"/>
      <c r="L1736" s="304">
        <v>1.781</v>
      </c>
      <c r="M1736" s="304"/>
      <c r="N1736" s="304"/>
    </row>
    <row r="1737" spans="1:14" ht="10.5" customHeight="1">
      <c r="A1737" s="394"/>
      <c r="B1737" s="396"/>
      <c r="C1737" s="408"/>
      <c r="D1737" s="338"/>
      <c r="E1737" s="78">
        <f>389.01+1.4+42</f>
        <v>432.40999999999997</v>
      </c>
      <c r="F1737" s="123" t="s">
        <v>258</v>
      </c>
      <c r="G1737" s="335"/>
      <c r="H1737" s="335"/>
      <c r="I1737" s="305"/>
      <c r="J1737" s="305"/>
      <c r="K1737" s="305"/>
      <c r="L1737" s="335"/>
      <c r="M1737" s="305"/>
      <c r="N1737" s="305"/>
    </row>
    <row r="1738" spans="1:14" ht="10.5" customHeight="1">
      <c r="A1738" s="394"/>
      <c r="B1738" s="396"/>
      <c r="C1738" s="408"/>
      <c r="D1738" s="462"/>
      <c r="E1738" s="78">
        <f>E1736+E1737</f>
        <v>532.41</v>
      </c>
      <c r="F1738" s="123">
        <v>5</v>
      </c>
      <c r="G1738" s="336"/>
      <c r="H1738" s="336"/>
      <c r="I1738" s="306"/>
      <c r="J1738" s="306"/>
      <c r="K1738" s="306"/>
      <c r="L1738" s="306"/>
      <c r="M1738" s="306"/>
      <c r="N1738" s="306"/>
    </row>
    <row r="1739" spans="1:14" ht="10.5" customHeight="1">
      <c r="A1739" s="394"/>
      <c r="B1739" s="396"/>
      <c r="C1739" s="408"/>
      <c r="D1739" s="407">
        <v>2012</v>
      </c>
      <c r="E1739" s="78">
        <v>50</v>
      </c>
      <c r="F1739" s="123">
        <v>1</v>
      </c>
      <c r="G1739" s="334">
        <v>0.59</v>
      </c>
      <c r="H1739" s="334">
        <v>852.21</v>
      </c>
      <c r="I1739" s="304"/>
      <c r="J1739" s="304"/>
      <c r="K1739" s="304"/>
      <c r="L1739" s="304">
        <v>1.671</v>
      </c>
      <c r="M1739" s="304"/>
      <c r="N1739" s="304"/>
    </row>
    <row r="1740" spans="1:14" ht="9.75" customHeight="1">
      <c r="A1740" s="394"/>
      <c r="B1740" s="396"/>
      <c r="C1740" s="408"/>
      <c r="D1740" s="338"/>
      <c r="E1740" s="78">
        <f>389.01+1.4+42</f>
        <v>432.40999999999997</v>
      </c>
      <c r="F1740" s="123" t="s">
        <v>258</v>
      </c>
      <c r="G1740" s="335"/>
      <c r="H1740" s="335"/>
      <c r="I1740" s="305"/>
      <c r="J1740" s="305"/>
      <c r="K1740" s="305"/>
      <c r="L1740" s="335"/>
      <c r="M1740" s="305"/>
      <c r="N1740" s="305"/>
    </row>
    <row r="1741" spans="1:14" ht="10.5" customHeight="1">
      <c r="A1741" s="394"/>
      <c r="B1741" s="396"/>
      <c r="C1741" s="408"/>
      <c r="D1741" s="462"/>
      <c r="E1741" s="78">
        <f>E1739+E1740</f>
        <v>482.40999999999997</v>
      </c>
      <c r="F1741" s="123">
        <v>5</v>
      </c>
      <c r="G1741" s="336"/>
      <c r="H1741" s="336"/>
      <c r="I1741" s="306"/>
      <c r="J1741" s="306"/>
      <c r="K1741" s="306"/>
      <c r="L1741" s="306"/>
      <c r="M1741" s="306"/>
      <c r="N1741" s="306"/>
    </row>
    <row r="1742" spans="1:14" ht="10.5" customHeight="1">
      <c r="A1742" s="394"/>
      <c r="B1742" s="396"/>
      <c r="C1742" s="408"/>
      <c r="D1742" s="407">
        <v>2013</v>
      </c>
      <c r="E1742" s="78">
        <v>50</v>
      </c>
      <c r="F1742" s="123">
        <v>1</v>
      </c>
      <c r="G1742" s="334">
        <v>0.59</v>
      </c>
      <c r="H1742" s="334">
        <v>857.31</v>
      </c>
      <c r="I1742" s="304"/>
      <c r="J1742" s="304"/>
      <c r="K1742" s="304"/>
      <c r="L1742" s="304">
        <v>1.681</v>
      </c>
      <c r="M1742" s="304"/>
      <c r="N1742" s="304"/>
    </row>
    <row r="1743" spans="1:14" ht="10.5" customHeight="1">
      <c r="A1743" s="394"/>
      <c r="B1743" s="396"/>
      <c r="C1743" s="408"/>
      <c r="D1743" s="338"/>
      <c r="E1743" s="78">
        <f>389.01+1.4+42</f>
        <v>432.40999999999997</v>
      </c>
      <c r="F1743" s="123" t="s">
        <v>258</v>
      </c>
      <c r="G1743" s="335"/>
      <c r="H1743" s="335"/>
      <c r="I1743" s="305"/>
      <c r="J1743" s="305"/>
      <c r="K1743" s="305"/>
      <c r="L1743" s="335"/>
      <c r="M1743" s="305"/>
      <c r="N1743" s="305"/>
    </row>
    <row r="1744" spans="1:14" ht="10.5" customHeight="1">
      <c r="A1744" s="394"/>
      <c r="B1744" s="396"/>
      <c r="C1744" s="408"/>
      <c r="D1744" s="339"/>
      <c r="E1744" s="78">
        <f>E1742+E1743</f>
        <v>482.40999999999997</v>
      </c>
      <c r="F1744" s="123">
        <v>5</v>
      </c>
      <c r="G1744" s="336"/>
      <c r="H1744" s="336"/>
      <c r="I1744" s="306"/>
      <c r="J1744" s="306"/>
      <c r="K1744" s="306"/>
      <c r="L1744" s="306"/>
      <c r="M1744" s="306"/>
      <c r="N1744" s="306"/>
    </row>
    <row r="1745" spans="1:14" ht="10.5" customHeight="1">
      <c r="A1745" s="394"/>
      <c r="B1745" s="396"/>
      <c r="C1745" s="408"/>
      <c r="D1745" s="407">
        <v>2014</v>
      </c>
      <c r="E1745" s="78">
        <v>50</v>
      </c>
      <c r="F1745" s="123">
        <v>1</v>
      </c>
      <c r="G1745" s="334">
        <v>0.59</v>
      </c>
      <c r="H1745" s="334">
        <v>852.21</v>
      </c>
      <c r="I1745" s="304"/>
      <c r="J1745" s="304"/>
      <c r="K1745" s="304"/>
      <c r="L1745" s="304">
        <v>1.671</v>
      </c>
      <c r="M1745" s="304"/>
      <c r="N1745" s="304"/>
    </row>
    <row r="1746" spans="1:14" ht="9.75" customHeight="1">
      <c r="A1746" s="394"/>
      <c r="B1746" s="396"/>
      <c r="C1746" s="408"/>
      <c r="D1746" s="338"/>
      <c r="E1746" s="78">
        <f>389.01+1.4+42</f>
        <v>432.40999999999997</v>
      </c>
      <c r="F1746" s="123" t="s">
        <v>258</v>
      </c>
      <c r="G1746" s="335"/>
      <c r="H1746" s="335"/>
      <c r="I1746" s="305"/>
      <c r="J1746" s="305"/>
      <c r="K1746" s="305"/>
      <c r="L1746" s="335"/>
      <c r="M1746" s="305"/>
      <c r="N1746" s="305"/>
    </row>
    <row r="1747" spans="1:14" ht="9.75" customHeight="1">
      <c r="A1747" s="394"/>
      <c r="B1747" s="396"/>
      <c r="C1747" s="408"/>
      <c r="D1747" s="339"/>
      <c r="E1747" s="78">
        <f>E1745+E1746</f>
        <v>482.40999999999997</v>
      </c>
      <c r="F1747" s="123">
        <v>5</v>
      </c>
      <c r="G1747" s="336"/>
      <c r="H1747" s="336"/>
      <c r="I1747" s="306"/>
      <c r="J1747" s="306"/>
      <c r="K1747" s="306"/>
      <c r="L1747" s="306"/>
      <c r="M1747" s="306"/>
      <c r="N1747" s="306"/>
    </row>
    <row r="1748" spans="1:14" ht="10.5" customHeight="1">
      <c r="A1748" s="413"/>
      <c r="B1748" s="397"/>
      <c r="C1748" s="409"/>
      <c r="D1748" s="17">
        <v>2015</v>
      </c>
      <c r="E1748" s="78">
        <f>389.01+1.4+42</f>
        <v>432.40999999999997</v>
      </c>
      <c r="F1748" s="123" t="s">
        <v>258</v>
      </c>
      <c r="G1748" s="6">
        <v>0.55</v>
      </c>
      <c r="H1748" s="6">
        <v>806.31</v>
      </c>
      <c r="I1748" s="5"/>
      <c r="J1748" s="5"/>
      <c r="K1748" s="5"/>
      <c r="L1748" s="5">
        <v>1.581</v>
      </c>
      <c r="M1748" s="5"/>
      <c r="N1748" s="5"/>
    </row>
    <row r="1749" spans="1:14" ht="10.5" customHeight="1">
      <c r="A1749" s="401">
        <v>151</v>
      </c>
      <c r="B1749" s="395" t="s">
        <v>267</v>
      </c>
      <c r="C1749" s="407" t="s">
        <v>265</v>
      </c>
      <c r="D1749" s="322" t="s">
        <v>120</v>
      </c>
      <c r="E1749" s="78">
        <f>E1755+E1761+E1767+E1772+E1778</f>
        <v>12266.560000000001</v>
      </c>
      <c r="F1749" s="123">
        <v>1</v>
      </c>
      <c r="G1749" s="337">
        <f>SUM(G1755:G1783)</f>
        <v>4.970000000000001</v>
      </c>
      <c r="H1749" s="337">
        <f>SUM(H1755:H1783)</f>
        <v>13704.11</v>
      </c>
      <c r="I1749" s="329"/>
      <c r="J1749" s="329"/>
      <c r="K1749" s="329">
        <f>SUM(K1755:K1783)</f>
        <v>1.016</v>
      </c>
      <c r="L1749" s="329">
        <f>SUM(L1755:L1783)</f>
        <v>0.6800000000000002</v>
      </c>
      <c r="M1749" s="329">
        <f>SUM(M1755:M1783)</f>
        <v>27.595</v>
      </c>
      <c r="N1749" s="329"/>
    </row>
    <row r="1750" spans="1:14" ht="10.5" customHeight="1">
      <c r="A1750" s="402"/>
      <c r="B1750" s="396"/>
      <c r="C1750" s="331"/>
      <c r="D1750" s="322"/>
      <c r="E1750" s="78">
        <f>E1756+E1762+E1768+E1773+E1779</f>
        <v>35310.979999999996</v>
      </c>
      <c r="F1750" s="123">
        <v>2</v>
      </c>
      <c r="G1750" s="337"/>
      <c r="H1750" s="337"/>
      <c r="I1750" s="329"/>
      <c r="J1750" s="329"/>
      <c r="K1750" s="329"/>
      <c r="L1750" s="329"/>
      <c r="M1750" s="329"/>
      <c r="N1750" s="329"/>
    </row>
    <row r="1751" spans="1:14" ht="10.5" customHeight="1">
      <c r="A1751" s="402"/>
      <c r="B1751" s="396"/>
      <c r="C1751" s="331"/>
      <c r="D1751" s="322"/>
      <c r="E1751" s="78">
        <f>SUM(E1780+E1774+E1769+E1763+E1757)</f>
        <v>2176.25</v>
      </c>
      <c r="F1751" s="123" t="s">
        <v>258</v>
      </c>
      <c r="G1751" s="337"/>
      <c r="H1751" s="337"/>
      <c r="I1751" s="329"/>
      <c r="J1751" s="329"/>
      <c r="K1751" s="329"/>
      <c r="L1751" s="329"/>
      <c r="M1751" s="329"/>
      <c r="N1751" s="329"/>
    </row>
    <row r="1752" spans="1:14" ht="10.5" customHeight="1">
      <c r="A1752" s="402"/>
      <c r="B1752" s="396"/>
      <c r="C1752" s="331"/>
      <c r="D1752" s="322"/>
      <c r="E1752" s="78">
        <f>SUM(E1758+E1764+E1775+E1781)</f>
        <v>75</v>
      </c>
      <c r="F1752" s="123">
        <v>3</v>
      </c>
      <c r="G1752" s="337"/>
      <c r="H1752" s="337"/>
      <c r="I1752" s="329"/>
      <c r="J1752" s="329"/>
      <c r="K1752" s="329"/>
      <c r="L1752" s="329"/>
      <c r="M1752" s="329"/>
      <c r="N1752" s="329"/>
    </row>
    <row r="1753" spans="1:14" ht="9.75" customHeight="1">
      <c r="A1753" s="402"/>
      <c r="B1753" s="396"/>
      <c r="C1753" s="331"/>
      <c r="D1753" s="322"/>
      <c r="E1753" s="78">
        <f>E1759+E1765+E1770+E1776+E1782</f>
        <v>78093.50000000001</v>
      </c>
      <c r="F1753" s="123">
        <v>4</v>
      </c>
      <c r="G1753" s="337"/>
      <c r="H1753" s="337"/>
      <c r="I1753" s="329"/>
      <c r="J1753" s="329"/>
      <c r="K1753" s="329"/>
      <c r="L1753" s="329"/>
      <c r="M1753" s="329"/>
      <c r="N1753" s="329"/>
    </row>
    <row r="1754" spans="1:14" ht="10.5" customHeight="1">
      <c r="A1754" s="402"/>
      <c r="B1754" s="396"/>
      <c r="C1754" s="331"/>
      <c r="D1754" s="322"/>
      <c r="E1754" s="78">
        <f>SUM(E1749+E1750+E1752+E1753)</f>
        <v>125746.04000000001</v>
      </c>
      <c r="F1754" s="123">
        <v>5</v>
      </c>
      <c r="G1754" s="337"/>
      <c r="H1754" s="337"/>
      <c r="I1754" s="329"/>
      <c r="J1754" s="329"/>
      <c r="K1754" s="329"/>
      <c r="L1754" s="329"/>
      <c r="M1754" s="329"/>
      <c r="N1754" s="329"/>
    </row>
    <row r="1755" spans="1:14" ht="10.5" customHeight="1">
      <c r="A1755" s="394"/>
      <c r="B1755" s="398"/>
      <c r="C1755" s="408"/>
      <c r="D1755" s="322">
        <v>2011</v>
      </c>
      <c r="E1755" s="78">
        <f>32.2+50+100+275.4+665.45+1264.2+630+517+45</f>
        <v>3579.25</v>
      </c>
      <c r="F1755" s="123">
        <v>1</v>
      </c>
      <c r="G1755" s="337">
        <v>1.03</v>
      </c>
      <c r="H1755" s="337">
        <v>713.69</v>
      </c>
      <c r="I1755" s="329"/>
      <c r="J1755" s="329"/>
      <c r="K1755" s="329">
        <v>0.282</v>
      </c>
      <c r="L1755" s="329">
        <v>0.467</v>
      </c>
      <c r="M1755" s="329">
        <v>4.513</v>
      </c>
      <c r="N1755" s="329"/>
    </row>
    <row r="1756" spans="1:14" ht="10.5" customHeight="1">
      <c r="A1756" s="394"/>
      <c r="B1756" s="398"/>
      <c r="C1756" s="408"/>
      <c r="D1756" s="322"/>
      <c r="E1756" s="78">
        <f>36.5+208+47.87+731+83.7+45+3.7+30.6+73.9+20.5+52+304+78.98+10+230+296.5+654.1+690+300+1406+1.5+5+570.8+6+22.4+15.15+120+340.34+10+169+58+5+467+89.7</f>
        <v>7182.24</v>
      </c>
      <c r="F1756" s="123">
        <v>2</v>
      </c>
      <c r="G1756" s="337"/>
      <c r="H1756" s="337"/>
      <c r="I1756" s="329"/>
      <c r="J1756" s="329"/>
      <c r="K1756" s="329"/>
      <c r="L1756" s="329"/>
      <c r="M1756" s="329"/>
      <c r="N1756" s="329"/>
    </row>
    <row r="1757" spans="1:14" ht="10.5" customHeight="1">
      <c r="A1757" s="394"/>
      <c r="B1757" s="398"/>
      <c r="C1757" s="408"/>
      <c r="D1757" s="322"/>
      <c r="E1757" s="78">
        <f>327.05+25</f>
        <v>352.05</v>
      </c>
      <c r="F1757" s="123" t="s">
        <v>258</v>
      </c>
      <c r="G1757" s="337"/>
      <c r="H1757" s="337"/>
      <c r="I1757" s="329"/>
      <c r="J1757" s="329"/>
      <c r="K1757" s="329"/>
      <c r="L1757" s="329"/>
      <c r="M1757" s="329"/>
      <c r="N1757" s="329"/>
    </row>
    <row r="1758" spans="1:14" ht="10.5" customHeight="1">
      <c r="A1758" s="394"/>
      <c r="B1758" s="398"/>
      <c r="C1758" s="408"/>
      <c r="D1758" s="322"/>
      <c r="E1758" s="78">
        <v>30</v>
      </c>
      <c r="F1758" s="123">
        <v>3</v>
      </c>
      <c r="G1758" s="337"/>
      <c r="H1758" s="337"/>
      <c r="I1758" s="329"/>
      <c r="J1758" s="329"/>
      <c r="K1758" s="329"/>
      <c r="L1758" s="329"/>
      <c r="M1758" s="329"/>
      <c r="N1758" s="329"/>
    </row>
    <row r="1759" spans="1:14" ht="10.5" customHeight="1">
      <c r="A1759" s="394"/>
      <c r="B1759" s="398"/>
      <c r="C1759" s="408"/>
      <c r="D1759" s="322"/>
      <c r="E1759" s="78">
        <f>54.2+45+2.4+1+30+16+1823.2+10+1268+10+64978.5</f>
        <v>68238.3</v>
      </c>
      <c r="F1759" s="123">
        <v>4</v>
      </c>
      <c r="G1759" s="337"/>
      <c r="H1759" s="337"/>
      <c r="I1759" s="329"/>
      <c r="J1759" s="329"/>
      <c r="K1759" s="329"/>
      <c r="L1759" s="329"/>
      <c r="M1759" s="329"/>
      <c r="N1759" s="329"/>
    </row>
    <row r="1760" spans="1:14" ht="10.5" customHeight="1">
      <c r="A1760" s="394"/>
      <c r="B1760" s="398"/>
      <c r="C1760" s="408"/>
      <c r="D1760" s="322"/>
      <c r="E1760" s="78">
        <f>E1755+E1756+E1758+E1759</f>
        <v>79029.79000000001</v>
      </c>
      <c r="F1760" s="123">
        <v>5</v>
      </c>
      <c r="G1760" s="337"/>
      <c r="H1760" s="337"/>
      <c r="I1760" s="329"/>
      <c r="J1760" s="329"/>
      <c r="K1760" s="329"/>
      <c r="L1760" s="329"/>
      <c r="M1760" s="329"/>
      <c r="N1760" s="329"/>
    </row>
    <row r="1761" spans="1:14" ht="10.5" customHeight="1">
      <c r="A1761" s="394"/>
      <c r="B1761" s="398"/>
      <c r="C1761" s="408"/>
      <c r="D1761" s="322">
        <v>2012</v>
      </c>
      <c r="E1761" s="78">
        <f>32.2+100+140+411.48+665.45+400.5+300+226+54.45+135</f>
        <v>2465.08</v>
      </c>
      <c r="F1761" s="123">
        <v>1</v>
      </c>
      <c r="G1761" s="337">
        <v>1.04</v>
      </c>
      <c r="H1761" s="337">
        <v>579.54</v>
      </c>
      <c r="I1761" s="329"/>
      <c r="J1761" s="329"/>
      <c r="K1761" s="329">
        <v>0.24</v>
      </c>
      <c r="L1761" s="329">
        <v>0.079</v>
      </c>
      <c r="M1761" s="329">
        <v>5.763</v>
      </c>
      <c r="N1761" s="329"/>
    </row>
    <row r="1762" spans="1:14" ht="9.75" customHeight="1">
      <c r="A1762" s="394"/>
      <c r="B1762" s="398"/>
      <c r="C1762" s="408"/>
      <c r="D1762" s="322"/>
      <c r="E1762" s="78">
        <f>729.26+36.5+208+75.26+490+93.7+45+3.7+45.72+73.9+20.5+52+304+78.98+10+270+505.7+654.1+534.2+300+433.8+7.2+22.4+15.12+1200+120+410.95+10+400+25+6.05+15+322</f>
        <v>7518.039999999999</v>
      </c>
      <c r="F1762" s="123">
        <v>2</v>
      </c>
      <c r="G1762" s="337"/>
      <c r="H1762" s="337"/>
      <c r="I1762" s="329"/>
      <c r="J1762" s="329"/>
      <c r="K1762" s="329"/>
      <c r="L1762" s="329"/>
      <c r="M1762" s="329"/>
      <c r="N1762" s="329"/>
    </row>
    <row r="1763" spans="1:14" ht="10.5" customHeight="1">
      <c r="A1763" s="394"/>
      <c r="B1763" s="398"/>
      <c r="C1763" s="408"/>
      <c r="D1763" s="322"/>
      <c r="E1763" s="78">
        <f>327.05+75</f>
        <v>402.05</v>
      </c>
      <c r="F1763" s="123" t="s">
        <v>258</v>
      </c>
      <c r="G1763" s="337"/>
      <c r="H1763" s="337"/>
      <c r="I1763" s="329"/>
      <c r="J1763" s="329"/>
      <c r="K1763" s="329"/>
      <c r="L1763" s="329"/>
      <c r="M1763" s="329"/>
      <c r="N1763" s="329"/>
    </row>
    <row r="1764" spans="1:14" ht="11.25" customHeight="1">
      <c r="A1764" s="394"/>
      <c r="B1764" s="398"/>
      <c r="C1764" s="408"/>
      <c r="D1764" s="322"/>
      <c r="E1764" s="78">
        <v>20</v>
      </c>
      <c r="F1764" s="123">
        <v>3</v>
      </c>
      <c r="G1764" s="337"/>
      <c r="H1764" s="337"/>
      <c r="I1764" s="329"/>
      <c r="J1764" s="329"/>
      <c r="K1764" s="329"/>
      <c r="L1764" s="329"/>
      <c r="M1764" s="329"/>
      <c r="N1764" s="329"/>
    </row>
    <row r="1765" spans="1:14" ht="11.25" customHeight="1">
      <c r="A1765" s="394"/>
      <c r="B1765" s="398"/>
      <c r="C1765" s="408"/>
      <c r="D1765" s="322"/>
      <c r="E1765" s="78">
        <f>51.2+45+2.4+1+30+20+1823.2+10+10+652</f>
        <v>2644.8</v>
      </c>
      <c r="F1765" s="123">
        <v>4</v>
      </c>
      <c r="G1765" s="337"/>
      <c r="H1765" s="337"/>
      <c r="I1765" s="329"/>
      <c r="J1765" s="329"/>
      <c r="K1765" s="329"/>
      <c r="L1765" s="329"/>
      <c r="M1765" s="329"/>
      <c r="N1765" s="329"/>
    </row>
    <row r="1766" spans="1:14" ht="10.5" customHeight="1">
      <c r="A1766" s="394"/>
      <c r="B1766" s="398"/>
      <c r="C1766" s="408"/>
      <c r="D1766" s="322"/>
      <c r="E1766" s="78">
        <f>E1761+E1762+E1764+E1765</f>
        <v>12647.919999999998</v>
      </c>
      <c r="F1766" s="123">
        <v>5</v>
      </c>
      <c r="G1766" s="337"/>
      <c r="H1766" s="337"/>
      <c r="I1766" s="329"/>
      <c r="J1766" s="329"/>
      <c r="K1766" s="329"/>
      <c r="L1766" s="329"/>
      <c r="M1766" s="329"/>
      <c r="N1766" s="329"/>
    </row>
    <row r="1767" spans="1:14" ht="10.5" customHeight="1">
      <c r="A1767" s="394"/>
      <c r="B1767" s="398"/>
      <c r="C1767" s="408"/>
      <c r="D1767" s="322">
        <v>2013</v>
      </c>
      <c r="E1767" s="78">
        <f>32.2+95+140+486+665.45+309.5+470+240.3</f>
        <v>2438.4500000000003</v>
      </c>
      <c r="F1767" s="123">
        <v>1</v>
      </c>
      <c r="G1767" s="337">
        <v>1.01</v>
      </c>
      <c r="H1767" s="337">
        <v>4257.95</v>
      </c>
      <c r="I1767" s="329"/>
      <c r="J1767" s="329"/>
      <c r="K1767" s="329">
        <v>0.181</v>
      </c>
      <c r="L1767" s="329">
        <v>0.05</v>
      </c>
      <c r="M1767" s="329">
        <v>5.9</v>
      </c>
      <c r="N1767" s="329"/>
    </row>
    <row r="1768" spans="1:14" ht="10.5" customHeight="1">
      <c r="A1768" s="394"/>
      <c r="B1768" s="398"/>
      <c r="C1768" s="408"/>
      <c r="D1768" s="322"/>
      <c r="E1768" s="78">
        <f>729.26+36.5+208+58.13+710+93.7+45+3.7+54+74+20.5+52+304+78.98+15+270+463+708.1+504.2+300+500.5+8.6+22.4+15.12+1200+120+225.69+10+199+26.7+552</f>
        <v>7608.079999999999</v>
      </c>
      <c r="F1768" s="123">
        <v>2</v>
      </c>
      <c r="G1768" s="337"/>
      <c r="H1768" s="337"/>
      <c r="I1768" s="329"/>
      <c r="J1768" s="329"/>
      <c r="K1768" s="329"/>
      <c r="L1768" s="329"/>
      <c r="M1768" s="329"/>
      <c r="N1768" s="329"/>
    </row>
    <row r="1769" spans="1:14" ht="10.5" customHeight="1">
      <c r="A1769" s="394"/>
      <c r="B1769" s="398"/>
      <c r="C1769" s="408"/>
      <c r="D1769" s="322"/>
      <c r="E1769" s="78">
        <f>354.05+100</f>
        <v>454.05</v>
      </c>
      <c r="F1769" s="123" t="s">
        <v>258</v>
      </c>
      <c r="G1769" s="337"/>
      <c r="H1769" s="337"/>
      <c r="I1769" s="329"/>
      <c r="J1769" s="329"/>
      <c r="K1769" s="329"/>
      <c r="L1769" s="329"/>
      <c r="M1769" s="329"/>
      <c r="N1769" s="329"/>
    </row>
    <row r="1770" spans="1:14" ht="10.5" customHeight="1">
      <c r="A1770" s="394"/>
      <c r="B1770" s="398"/>
      <c r="C1770" s="408"/>
      <c r="D1770" s="322"/>
      <c r="E1770" s="78">
        <f>49.2+45+2.4+1+30+20+1823.2+10+10+468</f>
        <v>2458.8</v>
      </c>
      <c r="F1770" s="123">
        <v>4</v>
      </c>
      <c r="G1770" s="337"/>
      <c r="H1770" s="337"/>
      <c r="I1770" s="329"/>
      <c r="J1770" s="329"/>
      <c r="K1770" s="329"/>
      <c r="L1770" s="329"/>
      <c r="M1770" s="329"/>
      <c r="N1770" s="329"/>
    </row>
    <row r="1771" spans="1:14" ht="9" customHeight="1">
      <c r="A1771" s="394"/>
      <c r="B1771" s="398"/>
      <c r="C1771" s="408"/>
      <c r="D1771" s="322"/>
      <c r="E1771" s="78">
        <f>E1767+E1768+E1770</f>
        <v>12505.329999999998</v>
      </c>
      <c r="F1771" s="123">
        <v>5</v>
      </c>
      <c r="G1771" s="337"/>
      <c r="H1771" s="337"/>
      <c r="I1771" s="329"/>
      <c r="J1771" s="329"/>
      <c r="K1771" s="329"/>
      <c r="L1771" s="329"/>
      <c r="M1771" s="329"/>
      <c r="N1771" s="329"/>
    </row>
    <row r="1772" spans="1:14" ht="10.5" customHeight="1">
      <c r="A1772" s="394"/>
      <c r="B1772" s="398"/>
      <c r="C1772" s="408"/>
      <c r="D1772" s="322">
        <v>2014</v>
      </c>
      <c r="E1772" s="78">
        <f>32.2+140+761.4+178+170+630</f>
        <v>1911.6</v>
      </c>
      <c r="F1772" s="123">
        <v>1</v>
      </c>
      <c r="G1772" s="337">
        <v>0.95</v>
      </c>
      <c r="H1772" s="337">
        <v>4087.13</v>
      </c>
      <c r="I1772" s="329"/>
      <c r="J1772" s="329"/>
      <c r="K1772" s="329">
        <v>0.163</v>
      </c>
      <c r="L1772" s="329">
        <v>0.042</v>
      </c>
      <c r="M1772" s="329">
        <v>5.72</v>
      </c>
      <c r="N1772" s="329"/>
    </row>
    <row r="1773" spans="1:14" ht="10.5" customHeight="1">
      <c r="A1773" s="394"/>
      <c r="B1773" s="398"/>
      <c r="C1773" s="408"/>
      <c r="D1773" s="322"/>
      <c r="E1773" s="78">
        <f>729.26+36.5+208+112.53+268+83.8+45+3.6+84.6+20.5+52+304+78.98+15+230+443+693.1+514.2+300+1.5+581.8+10.32+22.4+15.12+600+120+305.25+10+300+70+422</f>
        <v>6680.459999999999</v>
      </c>
      <c r="F1773" s="123">
        <v>2</v>
      </c>
      <c r="G1773" s="337"/>
      <c r="H1773" s="337"/>
      <c r="I1773" s="329"/>
      <c r="J1773" s="329"/>
      <c r="K1773" s="329"/>
      <c r="L1773" s="329"/>
      <c r="M1773" s="329"/>
      <c r="N1773" s="329"/>
    </row>
    <row r="1774" spans="1:14" ht="10.5" customHeight="1">
      <c r="A1774" s="394"/>
      <c r="B1774" s="398"/>
      <c r="C1774" s="408"/>
      <c r="D1774" s="322"/>
      <c r="E1774" s="78">
        <f>346.55+125</f>
        <v>471.55</v>
      </c>
      <c r="F1774" s="123" t="s">
        <v>258</v>
      </c>
      <c r="G1774" s="337"/>
      <c r="H1774" s="337"/>
      <c r="I1774" s="329"/>
      <c r="J1774" s="329"/>
      <c r="K1774" s="329"/>
      <c r="L1774" s="329"/>
      <c r="M1774" s="329"/>
      <c r="N1774" s="329"/>
    </row>
    <row r="1775" spans="1:14" ht="10.5" customHeight="1">
      <c r="A1775" s="394"/>
      <c r="B1775" s="398"/>
      <c r="C1775" s="408"/>
      <c r="D1775" s="322"/>
      <c r="E1775" s="78">
        <v>10</v>
      </c>
      <c r="F1775" s="123">
        <v>3</v>
      </c>
      <c r="G1775" s="337"/>
      <c r="H1775" s="337"/>
      <c r="I1775" s="329"/>
      <c r="J1775" s="329"/>
      <c r="K1775" s="329"/>
      <c r="L1775" s="329"/>
      <c r="M1775" s="329"/>
      <c r="N1775" s="329"/>
    </row>
    <row r="1776" spans="1:14" ht="10.5" customHeight="1">
      <c r="A1776" s="394"/>
      <c r="B1776" s="398"/>
      <c r="C1776" s="408"/>
      <c r="D1776" s="322"/>
      <c r="E1776" s="78">
        <f>44.1+45+2.5+1+30+24+1823.2+10+10+469+300</f>
        <v>2758.8</v>
      </c>
      <c r="F1776" s="123">
        <v>4</v>
      </c>
      <c r="G1776" s="337"/>
      <c r="H1776" s="337"/>
      <c r="I1776" s="329"/>
      <c r="J1776" s="329"/>
      <c r="K1776" s="329"/>
      <c r="L1776" s="329"/>
      <c r="M1776" s="329"/>
      <c r="N1776" s="329"/>
    </row>
    <row r="1777" spans="1:14" ht="10.5" customHeight="1">
      <c r="A1777" s="394"/>
      <c r="B1777" s="398"/>
      <c r="C1777" s="408"/>
      <c r="D1777" s="322"/>
      <c r="E1777" s="78">
        <f>E1772+E1773+E1775+E1776</f>
        <v>11360.86</v>
      </c>
      <c r="F1777" s="123">
        <v>5</v>
      </c>
      <c r="G1777" s="337"/>
      <c r="H1777" s="337"/>
      <c r="I1777" s="329"/>
      <c r="J1777" s="329"/>
      <c r="K1777" s="329"/>
      <c r="L1777" s="329"/>
      <c r="M1777" s="329"/>
      <c r="N1777" s="329"/>
    </row>
    <row r="1778" spans="1:14" ht="11.25" customHeight="1">
      <c r="A1778" s="394"/>
      <c r="B1778" s="398"/>
      <c r="C1778" s="408"/>
      <c r="D1778" s="322">
        <v>2015</v>
      </c>
      <c r="E1778" s="78">
        <f>32.2+140+735.48+254.5+170+540</f>
        <v>1872.18</v>
      </c>
      <c r="F1778" s="123">
        <v>1</v>
      </c>
      <c r="G1778" s="337">
        <v>0.94</v>
      </c>
      <c r="H1778" s="337">
        <v>4065.8</v>
      </c>
      <c r="I1778" s="329"/>
      <c r="J1778" s="329"/>
      <c r="K1778" s="329">
        <v>0.15</v>
      </c>
      <c r="L1778" s="329">
        <v>0.042</v>
      </c>
      <c r="M1778" s="329">
        <v>5.699</v>
      </c>
      <c r="N1778" s="329"/>
    </row>
    <row r="1779" spans="1:14" ht="10.5" customHeight="1">
      <c r="A1779" s="394"/>
      <c r="B1779" s="398"/>
      <c r="C1779" s="408"/>
      <c r="D1779" s="322"/>
      <c r="E1779" s="78">
        <f>729.26+208+245+88.8+45+3.6+81.72+52+304+78.98+15+230+492+693.1+504.6+300+639.2+12.38+22.4+15.12+600+120+10+300+60+472</f>
        <v>6322.159999999999</v>
      </c>
      <c r="F1779" s="123">
        <v>2</v>
      </c>
      <c r="G1779" s="337"/>
      <c r="H1779" s="337"/>
      <c r="I1779" s="329"/>
      <c r="J1779" s="329"/>
      <c r="K1779" s="329"/>
      <c r="L1779" s="329"/>
      <c r="M1779" s="329"/>
      <c r="N1779" s="329"/>
    </row>
    <row r="1780" spans="1:14" ht="10.5" customHeight="1">
      <c r="A1780" s="394"/>
      <c r="B1780" s="398"/>
      <c r="C1780" s="408"/>
      <c r="D1780" s="322"/>
      <c r="E1780" s="78">
        <f>346.55+150</f>
        <v>496.55</v>
      </c>
      <c r="F1780" s="123" t="s">
        <v>258</v>
      </c>
      <c r="G1780" s="337"/>
      <c r="H1780" s="337"/>
      <c r="I1780" s="329"/>
      <c r="J1780" s="329"/>
      <c r="K1780" s="329"/>
      <c r="L1780" s="329"/>
      <c r="M1780" s="329"/>
      <c r="N1780" s="329"/>
    </row>
    <row r="1781" spans="1:14" ht="9" customHeight="1">
      <c r="A1781" s="394"/>
      <c r="B1781" s="398"/>
      <c r="C1781" s="408"/>
      <c r="D1781" s="322"/>
      <c r="E1781" s="78">
        <v>15</v>
      </c>
      <c r="F1781" s="123">
        <v>3</v>
      </c>
      <c r="G1781" s="337"/>
      <c r="H1781" s="337"/>
      <c r="I1781" s="329"/>
      <c r="J1781" s="329"/>
      <c r="K1781" s="329"/>
      <c r="L1781" s="329"/>
      <c r="M1781" s="329"/>
      <c r="N1781" s="329"/>
    </row>
    <row r="1782" spans="1:14" ht="10.5" customHeight="1">
      <c r="A1782" s="394"/>
      <c r="B1782" s="398"/>
      <c r="C1782" s="408"/>
      <c r="D1782" s="322"/>
      <c r="E1782" s="78">
        <f>44.1+45+2.5+1+30+27+1823.2+10+10</f>
        <v>1992.8</v>
      </c>
      <c r="F1782" s="123">
        <v>4</v>
      </c>
      <c r="G1782" s="337"/>
      <c r="H1782" s="337"/>
      <c r="I1782" s="329"/>
      <c r="J1782" s="329"/>
      <c r="K1782" s="329"/>
      <c r="L1782" s="329"/>
      <c r="M1782" s="329"/>
      <c r="N1782" s="329"/>
    </row>
    <row r="1783" spans="1:14" ht="10.5" customHeight="1">
      <c r="A1783" s="394"/>
      <c r="B1783" s="399"/>
      <c r="C1783" s="409"/>
      <c r="D1783" s="322"/>
      <c r="E1783" s="78">
        <f>E1778+E1779+E1781+E1782</f>
        <v>10202.139999999998</v>
      </c>
      <c r="F1783" s="123">
        <v>5</v>
      </c>
      <c r="G1783" s="337"/>
      <c r="H1783" s="337"/>
      <c r="I1783" s="329"/>
      <c r="J1783" s="329"/>
      <c r="K1783" s="329"/>
      <c r="L1783" s="329"/>
      <c r="M1783" s="329"/>
      <c r="N1783" s="329"/>
    </row>
    <row r="1784" spans="1:14" ht="10.5" customHeight="1">
      <c r="A1784" s="394"/>
      <c r="B1784" s="395" t="s">
        <v>22</v>
      </c>
      <c r="C1784" s="407"/>
      <c r="D1784" s="407" t="s">
        <v>120</v>
      </c>
      <c r="E1784" s="78">
        <v>535</v>
      </c>
      <c r="F1784" s="123">
        <v>1</v>
      </c>
      <c r="G1784" s="334">
        <f>SUM(G1787:G1801)</f>
        <v>0.23</v>
      </c>
      <c r="H1784" s="334">
        <f>SUM(H1787:H1801)</f>
        <v>683.3000000000001</v>
      </c>
      <c r="I1784" s="304">
        <f>SUM(I1787:I1801)</f>
        <v>0.122</v>
      </c>
      <c r="J1784" s="304"/>
      <c r="K1784" s="304"/>
      <c r="L1784" s="304"/>
      <c r="M1784" s="304">
        <f>SUM(M1787:M1801)</f>
        <v>0.625</v>
      </c>
      <c r="N1784" s="304"/>
    </row>
    <row r="1785" spans="1:14" ht="10.5" customHeight="1">
      <c r="A1785" s="394"/>
      <c r="B1785" s="396"/>
      <c r="C1785" s="331"/>
      <c r="D1785" s="338"/>
      <c r="E1785" s="78">
        <f>E1788+E1791+E1794+E1797+E1800</f>
        <v>19429.38</v>
      </c>
      <c r="F1785" s="123" t="s">
        <v>258</v>
      </c>
      <c r="G1785" s="335"/>
      <c r="H1785" s="335"/>
      <c r="I1785" s="582"/>
      <c r="J1785" s="305"/>
      <c r="K1785" s="305"/>
      <c r="L1785" s="305"/>
      <c r="M1785" s="582"/>
      <c r="N1785" s="305"/>
    </row>
    <row r="1786" spans="1:14" ht="10.5" customHeight="1">
      <c r="A1786" s="394"/>
      <c r="B1786" s="396"/>
      <c r="C1786" s="331"/>
      <c r="D1786" s="339"/>
      <c r="E1786" s="78">
        <f>E1784+E1785</f>
        <v>19964.38</v>
      </c>
      <c r="F1786" s="123">
        <v>5</v>
      </c>
      <c r="G1786" s="336"/>
      <c r="H1786" s="336"/>
      <c r="I1786" s="306"/>
      <c r="J1786" s="306"/>
      <c r="K1786" s="306"/>
      <c r="L1786" s="306"/>
      <c r="M1786" s="306"/>
      <c r="N1786" s="306"/>
    </row>
    <row r="1787" spans="1:14" ht="10.5" customHeight="1">
      <c r="A1787" s="394"/>
      <c r="B1787" s="396"/>
      <c r="C1787" s="331"/>
      <c r="D1787" s="407">
        <v>2011</v>
      </c>
      <c r="E1787" s="78">
        <v>124</v>
      </c>
      <c r="F1787" s="123">
        <v>1</v>
      </c>
      <c r="G1787" s="334">
        <v>0.04</v>
      </c>
      <c r="H1787" s="334">
        <v>135.8</v>
      </c>
      <c r="I1787" s="304">
        <v>0.022</v>
      </c>
      <c r="J1787" s="304"/>
      <c r="K1787" s="304"/>
      <c r="L1787" s="304"/>
      <c r="M1787" s="304">
        <v>0.13</v>
      </c>
      <c r="N1787" s="304"/>
    </row>
    <row r="1788" spans="1:14" ht="10.5" customHeight="1">
      <c r="A1788" s="394"/>
      <c r="B1788" s="396"/>
      <c r="C1788" s="331"/>
      <c r="D1788" s="338"/>
      <c r="E1788" s="78">
        <f>13+2000+1420</f>
        <v>3433</v>
      </c>
      <c r="F1788" s="123" t="s">
        <v>258</v>
      </c>
      <c r="G1788" s="335"/>
      <c r="H1788" s="335"/>
      <c r="I1788" s="335"/>
      <c r="J1788" s="305"/>
      <c r="K1788" s="305"/>
      <c r="L1788" s="305"/>
      <c r="M1788" s="305"/>
      <c r="N1788" s="305"/>
    </row>
    <row r="1789" spans="1:14" ht="9.75" customHeight="1">
      <c r="A1789" s="394"/>
      <c r="B1789" s="396"/>
      <c r="C1789" s="331"/>
      <c r="D1789" s="339"/>
      <c r="E1789" s="78">
        <f>E1787+E1788</f>
        <v>3557</v>
      </c>
      <c r="F1789" s="123">
        <v>5</v>
      </c>
      <c r="G1789" s="336"/>
      <c r="H1789" s="336"/>
      <c r="I1789" s="306"/>
      <c r="J1789" s="306"/>
      <c r="K1789" s="306"/>
      <c r="L1789" s="306"/>
      <c r="M1789" s="306"/>
      <c r="N1789" s="306"/>
    </row>
    <row r="1790" spans="1:14" ht="11.25" customHeight="1">
      <c r="A1790" s="394"/>
      <c r="B1790" s="396"/>
      <c r="C1790" s="331"/>
      <c r="D1790" s="407">
        <v>2012</v>
      </c>
      <c r="E1790" s="78">
        <v>110</v>
      </c>
      <c r="F1790" s="123">
        <v>1</v>
      </c>
      <c r="G1790" s="334">
        <v>0.04</v>
      </c>
      <c r="H1790" s="334">
        <v>128.8</v>
      </c>
      <c r="I1790" s="304">
        <v>0.022</v>
      </c>
      <c r="J1790" s="304"/>
      <c r="K1790" s="304"/>
      <c r="L1790" s="304"/>
      <c r="M1790" s="304">
        <v>0.12</v>
      </c>
      <c r="N1790" s="304"/>
    </row>
    <row r="1791" spans="1:14" ht="10.5" customHeight="1">
      <c r="A1791" s="394"/>
      <c r="B1791" s="396"/>
      <c r="C1791" s="331"/>
      <c r="D1791" s="338"/>
      <c r="E1791" s="78">
        <f>13+2150+1420</f>
        <v>3583</v>
      </c>
      <c r="F1791" s="123" t="s">
        <v>258</v>
      </c>
      <c r="G1791" s="335"/>
      <c r="H1791" s="335"/>
      <c r="I1791" s="335"/>
      <c r="J1791" s="305"/>
      <c r="K1791" s="305"/>
      <c r="L1791" s="305"/>
      <c r="M1791" s="305"/>
      <c r="N1791" s="305"/>
    </row>
    <row r="1792" spans="1:14" ht="10.5" customHeight="1">
      <c r="A1792" s="394"/>
      <c r="B1792" s="396"/>
      <c r="C1792" s="331"/>
      <c r="D1792" s="339"/>
      <c r="E1792" s="78">
        <f>E1790+E1791</f>
        <v>3693</v>
      </c>
      <c r="F1792" s="123">
        <v>5</v>
      </c>
      <c r="G1792" s="336"/>
      <c r="H1792" s="336"/>
      <c r="I1792" s="306"/>
      <c r="J1792" s="306"/>
      <c r="K1792" s="306"/>
      <c r="L1792" s="306"/>
      <c r="M1792" s="306"/>
      <c r="N1792" s="306"/>
    </row>
    <row r="1793" spans="1:14" ht="10.5" customHeight="1">
      <c r="A1793" s="394"/>
      <c r="B1793" s="396"/>
      <c r="C1793" s="331"/>
      <c r="D1793" s="407">
        <v>2013</v>
      </c>
      <c r="E1793" s="78">
        <v>120</v>
      </c>
      <c r="F1793" s="123">
        <v>1</v>
      </c>
      <c r="G1793" s="334">
        <v>0.05</v>
      </c>
      <c r="H1793" s="334">
        <v>139.3</v>
      </c>
      <c r="I1793" s="304">
        <v>0.022</v>
      </c>
      <c r="J1793" s="304"/>
      <c r="K1793" s="304"/>
      <c r="L1793" s="304"/>
      <c r="M1793" s="304">
        <v>0.135</v>
      </c>
      <c r="N1793" s="304"/>
    </row>
    <row r="1794" spans="1:14" ht="11.25" customHeight="1">
      <c r="A1794" s="394"/>
      <c r="B1794" s="396"/>
      <c r="C1794" s="331"/>
      <c r="D1794" s="338"/>
      <c r="E1794" s="78">
        <f>13+2300+1404.38</f>
        <v>3717.38</v>
      </c>
      <c r="F1794" s="123" t="s">
        <v>258</v>
      </c>
      <c r="G1794" s="335"/>
      <c r="H1794" s="335"/>
      <c r="I1794" s="335"/>
      <c r="J1794" s="305"/>
      <c r="K1794" s="305"/>
      <c r="L1794" s="305"/>
      <c r="M1794" s="305"/>
      <c r="N1794" s="305"/>
    </row>
    <row r="1795" spans="1:14" ht="11.25" customHeight="1">
      <c r="A1795" s="394"/>
      <c r="B1795" s="396"/>
      <c r="C1795" s="331"/>
      <c r="D1795" s="339"/>
      <c r="E1795" s="78">
        <f>E1793+E1794</f>
        <v>3837.38</v>
      </c>
      <c r="F1795" s="123">
        <v>5</v>
      </c>
      <c r="G1795" s="336"/>
      <c r="H1795" s="336"/>
      <c r="I1795" s="306"/>
      <c r="J1795" s="306"/>
      <c r="K1795" s="306"/>
      <c r="L1795" s="306"/>
      <c r="M1795" s="306"/>
      <c r="N1795" s="306"/>
    </row>
    <row r="1796" spans="1:14" ht="11.25" customHeight="1">
      <c r="A1796" s="394"/>
      <c r="B1796" s="396"/>
      <c r="C1796" s="331"/>
      <c r="D1796" s="407">
        <v>2014</v>
      </c>
      <c r="E1796" s="78">
        <v>91</v>
      </c>
      <c r="F1796" s="123">
        <v>1</v>
      </c>
      <c r="G1796" s="334">
        <v>0.07</v>
      </c>
      <c r="H1796" s="334">
        <v>180.2</v>
      </c>
      <c r="I1796" s="304">
        <v>0.048</v>
      </c>
      <c r="J1796" s="304"/>
      <c r="K1796" s="304"/>
      <c r="L1796" s="304"/>
      <c r="M1796" s="304">
        <v>0.12</v>
      </c>
      <c r="N1796" s="304"/>
    </row>
    <row r="1797" spans="1:14" ht="10.5" customHeight="1">
      <c r="A1797" s="394"/>
      <c r="B1797" s="396"/>
      <c r="C1797" s="331"/>
      <c r="D1797" s="338"/>
      <c r="E1797" s="78">
        <f>13+2800+1440</f>
        <v>4253</v>
      </c>
      <c r="F1797" s="123" t="s">
        <v>258</v>
      </c>
      <c r="G1797" s="335"/>
      <c r="H1797" s="335"/>
      <c r="I1797" s="335"/>
      <c r="J1797" s="305"/>
      <c r="K1797" s="305"/>
      <c r="L1797" s="305"/>
      <c r="M1797" s="305"/>
      <c r="N1797" s="305"/>
    </row>
    <row r="1798" spans="1:14" ht="10.5" customHeight="1">
      <c r="A1798" s="394"/>
      <c r="B1798" s="396"/>
      <c r="C1798" s="331"/>
      <c r="D1798" s="339"/>
      <c r="E1798" s="78">
        <f>E1796+E1797</f>
        <v>4344</v>
      </c>
      <c r="F1798" s="123">
        <v>5</v>
      </c>
      <c r="G1798" s="336"/>
      <c r="H1798" s="336"/>
      <c r="I1798" s="306"/>
      <c r="J1798" s="306"/>
      <c r="K1798" s="306"/>
      <c r="L1798" s="306"/>
      <c r="M1798" s="306"/>
      <c r="N1798" s="306"/>
    </row>
    <row r="1799" spans="1:14" ht="11.25" customHeight="1">
      <c r="A1799" s="394"/>
      <c r="B1799" s="396"/>
      <c r="C1799" s="331"/>
      <c r="D1799" s="407">
        <v>2015</v>
      </c>
      <c r="E1799" s="78">
        <v>90</v>
      </c>
      <c r="F1799" s="123">
        <v>1</v>
      </c>
      <c r="G1799" s="334">
        <v>0.03</v>
      </c>
      <c r="H1799" s="334">
        <v>99.2</v>
      </c>
      <c r="I1799" s="304">
        <v>0.008</v>
      </c>
      <c r="J1799" s="304"/>
      <c r="K1799" s="304"/>
      <c r="L1799" s="304"/>
      <c r="M1799" s="304">
        <v>0.12</v>
      </c>
      <c r="N1799" s="304"/>
    </row>
    <row r="1800" spans="1:14" ht="10.5" customHeight="1">
      <c r="A1800" s="394"/>
      <c r="B1800" s="396"/>
      <c r="C1800" s="331"/>
      <c r="D1800" s="338"/>
      <c r="E1800" s="78">
        <f>13+3000+1430</f>
        <v>4443</v>
      </c>
      <c r="F1800" s="123" t="s">
        <v>258</v>
      </c>
      <c r="G1800" s="335"/>
      <c r="H1800" s="335"/>
      <c r="I1800" s="335"/>
      <c r="J1800" s="305"/>
      <c r="K1800" s="305"/>
      <c r="L1800" s="305"/>
      <c r="M1800" s="305"/>
      <c r="N1800" s="305"/>
    </row>
    <row r="1801" spans="1:14" ht="10.5" customHeight="1">
      <c r="A1801" s="413"/>
      <c r="B1801" s="397"/>
      <c r="C1801" s="339"/>
      <c r="D1801" s="339"/>
      <c r="E1801" s="78">
        <f>E1799+E1800</f>
        <v>4533</v>
      </c>
      <c r="F1801" s="123">
        <v>5</v>
      </c>
      <c r="G1801" s="336"/>
      <c r="H1801" s="336"/>
      <c r="I1801" s="306"/>
      <c r="J1801" s="306"/>
      <c r="K1801" s="306"/>
      <c r="L1801" s="306"/>
      <c r="M1801" s="306"/>
      <c r="N1801" s="306"/>
    </row>
    <row r="1802" spans="1:14" ht="10.5" customHeight="1">
      <c r="A1802" s="401">
        <v>152</v>
      </c>
      <c r="B1802" s="440" t="s">
        <v>268</v>
      </c>
      <c r="C1802" s="407" t="s">
        <v>265</v>
      </c>
      <c r="D1802" s="320" t="s">
        <v>120</v>
      </c>
      <c r="E1802" s="78">
        <v>15000</v>
      </c>
      <c r="F1802" s="123">
        <v>1</v>
      </c>
      <c r="G1802" s="337"/>
      <c r="H1802" s="337"/>
      <c r="I1802" s="329"/>
      <c r="J1802" s="329"/>
      <c r="K1802" s="329"/>
      <c r="L1802" s="329"/>
      <c r="M1802" s="329"/>
      <c r="N1802" s="329"/>
    </row>
    <row r="1803" spans="1:14" ht="10.5" customHeight="1">
      <c r="A1803" s="402"/>
      <c r="B1803" s="658"/>
      <c r="C1803" s="331"/>
      <c r="D1803" s="584"/>
      <c r="E1803" s="78">
        <f>E1806+E1809+E1812+E1815+E1818</f>
        <v>1825</v>
      </c>
      <c r="F1803" s="123">
        <v>2</v>
      </c>
      <c r="G1803" s="337"/>
      <c r="H1803" s="337"/>
      <c r="I1803" s="329"/>
      <c r="J1803" s="329"/>
      <c r="K1803" s="329"/>
      <c r="L1803" s="329"/>
      <c r="M1803" s="329"/>
      <c r="N1803" s="329"/>
    </row>
    <row r="1804" spans="1:14" ht="10.5" customHeight="1">
      <c r="A1804" s="402"/>
      <c r="B1804" s="658"/>
      <c r="C1804" s="331"/>
      <c r="D1804" s="584"/>
      <c r="E1804" s="78">
        <f>SUM(E1802:E1803)</f>
        <v>16825</v>
      </c>
      <c r="F1804" s="123">
        <v>5</v>
      </c>
      <c r="G1804" s="337"/>
      <c r="H1804" s="337"/>
      <c r="I1804" s="329"/>
      <c r="J1804" s="329"/>
      <c r="K1804" s="329"/>
      <c r="L1804" s="329"/>
      <c r="M1804" s="329"/>
      <c r="N1804" s="329"/>
    </row>
    <row r="1805" spans="1:14" ht="10.5" customHeight="1">
      <c r="A1805" s="402"/>
      <c r="B1805" s="658"/>
      <c r="C1805" s="331"/>
      <c r="D1805" s="320">
        <v>2011</v>
      </c>
      <c r="E1805" s="78">
        <v>3000</v>
      </c>
      <c r="F1805" s="123">
        <v>1</v>
      </c>
      <c r="G1805" s="337"/>
      <c r="H1805" s="337"/>
      <c r="I1805" s="329"/>
      <c r="J1805" s="329"/>
      <c r="K1805" s="329"/>
      <c r="L1805" s="329"/>
      <c r="M1805" s="329"/>
      <c r="N1805" s="329"/>
    </row>
    <row r="1806" spans="1:14" ht="10.5" customHeight="1">
      <c r="A1806" s="402"/>
      <c r="B1806" s="658"/>
      <c r="C1806" s="331"/>
      <c r="D1806" s="584"/>
      <c r="E1806" s="78">
        <v>265</v>
      </c>
      <c r="F1806" s="123">
        <v>2</v>
      </c>
      <c r="G1806" s="337"/>
      <c r="H1806" s="337"/>
      <c r="I1806" s="329"/>
      <c r="J1806" s="329"/>
      <c r="K1806" s="329"/>
      <c r="L1806" s="329"/>
      <c r="M1806" s="329"/>
      <c r="N1806" s="329"/>
    </row>
    <row r="1807" spans="1:14" ht="9.75" customHeight="1">
      <c r="A1807" s="402"/>
      <c r="B1807" s="658"/>
      <c r="C1807" s="331"/>
      <c r="D1807" s="584"/>
      <c r="E1807" s="78">
        <f>SUM(E1805:E1806)</f>
        <v>3265</v>
      </c>
      <c r="F1807" s="123">
        <v>5</v>
      </c>
      <c r="G1807" s="337"/>
      <c r="H1807" s="337"/>
      <c r="I1807" s="329"/>
      <c r="J1807" s="329"/>
      <c r="K1807" s="329"/>
      <c r="L1807" s="329"/>
      <c r="M1807" s="329"/>
      <c r="N1807" s="329"/>
    </row>
    <row r="1808" spans="1:14" ht="10.5" customHeight="1">
      <c r="A1808" s="402"/>
      <c r="B1808" s="658"/>
      <c r="C1808" s="331"/>
      <c r="D1808" s="320">
        <v>2012</v>
      </c>
      <c r="E1808" s="78">
        <v>3000</v>
      </c>
      <c r="F1808" s="123">
        <v>1</v>
      </c>
      <c r="G1808" s="337"/>
      <c r="H1808" s="337"/>
      <c r="I1808" s="329"/>
      <c r="J1808" s="329"/>
      <c r="K1808" s="329"/>
      <c r="L1808" s="329"/>
      <c r="M1808" s="329"/>
      <c r="N1808" s="329"/>
    </row>
    <row r="1809" spans="1:14" ht="10.5" customHeight="1">
      <c r="A1809" s="402"/>
      <c r="B1809" s="658"/>
      <c r="C1809" s="331"/>
      <c r="D1809" s="584"/>
      <c r="E1809" s="78">
        <f>195+30+25+150+30+50</f>
        <v>480</v>
      </c>
      <c r="F1809" s="123">
        <v>2</v>
      </c>
      <c r="G1809" s="337"/>
      <c r="H1809" s="337"/>
      <c r="I1809" s="329"/>
      <c r="J1809" s="329"/>
      <c r="K1809" s="329"/>
      <c r="L1809" s="329"/>
      <c r="M1809" s="329"/>
      <c r="N1809" s="329"/>
    </row>
    <row r="1810" spans="1:14" ht="10.5" customHeight="1">
      <c r="A1810" s="402"/>
      <c r="B1810" s="658"/>
      <c r="C1810" s="331"/>
      <c r="D1810" s="584"/>
      <c r="E1810" s="78">
        <f>SUM(E1808:E1809)</f>
        <v>3480</v>
      </c>
      <c r="F1810" s="123">
        <v>5</v>
      </c>
      <c r="G1810" s="337"/>
      <c r="H1810" s="337"/>
      <c r="I1810" s="329"/>
      <c r="J1810" s="329"/>
      <c r="K1810" s="329"/>
      <c r="L1810" s="329"/>
      <c r="M1810" s="329"/>
      <c r="N1810" s="329"/>
    </row>
    <row r="1811" spans="1:14" ht="9.75" customHeight="1">
      <c r="A1811" s="402"/>
      <c r="B1811" s="658"/>
      <c r="C1811" s="331"/>
      <c r="D1811" s="320">
        <v>2013</v>
      </c>
      <c r="E1811" s="78">
        <v>3000</v>
      </c>
      <c r="F1811" s="123">
        <v>1</v>
      </c>
      <c r="G1811" s="337"/>
      <c r="H1811" s="337"/>
      <c r="I1811" s="329"/>
      <c r="J1811" s="329"/>
      <c r="K1811" s="329"/>
      <c r="L1811" s="329"/>
      <c r="M1811" s="329"/>
      <c r="N1811" s="329"/>
    </row>
    <row r="1812" spans="1:14" ht="10.5" customHeight="1">
      <c r="A1812" s="402"/>
      <c r="B1812" s="658"/>
      <c r="C1812" s="331"/>
      <c r="D1812" s="584"/>
      <c r="E1812" s="78">
        <f>195+30+50+150+20+50</f>
        <v>495</v>
      </c>
      <c r="F1812" s="123">
        <v>2</v>
      </c>
      <c r="G1812" s="337"/>
      <c r="H1812" s="337"/>
      <c r="I1812" s="329"/>
      <c r="J1812" s="329"/>
      <c r="K1812" s="329"/>
      <c r="L1812" s="329"/>
      <c r="M1812" s="329"/>
      <c r="N1812" s="329"/>
    </row>
    <row r="1813" spans="1:14" ht="10.5" customHeight="1">
      <c r="A1813" s="402"/>
      <c r="B1813" s="658"/>
      <c r="C1813" s="331"/>
      <c r="D1813" s="584"/>
      <c r="E1813" s="78">
        <f>SUM(E1811:E1812)</f>
        <v>3495</v>
      </c>
      <c r="F1813" s="123">
        <v>5</v>
      </c>
      <c r="G1813" s="337"/>
      <c r="H1813" s="337"/>
      <c r="I1813" s="329"/>
      <c r="J1813" s="329"/>
      <c r="K1813" s="329"/>
      <c r="L1813" s="329"/>
      <c r="M1813" s="329"/>
      <c r="N1813" s="329"/>
    </row>
    <row r="1814" spans="1:14" ht="10.5" customHeight="1">
      <c r="A1814" s="402"/>
      <c r="B1814" s="658"/>
      <c r="C1814" s="331"/>
      <c r="D1814" s="320">
        <v>2014</v>
      </c>
      <c r="E1814" s="78">
        <v>3000</v>
      </c>
      <c r="F1814" s="123">
        <v>1</v>
      </c>
      <c r="G1814" s="337"/>
      <c r="H1814" s="337"/>
      <c r="I1814" s="329"/>
      <c r="J1814" s="329"/>
      <c r="K1814" s="329"/>
      <c r="L1814" s="329"/>
      <c r="M1814" s="329"/>
      <c r="N1814" s="329"/>
    </row>
    <row r="1815" spans="1:14" ht="10.5" customHeight="1">
      <c r="A1815" s="402"/>
      <c r="B1815" s="658"/>
      <c r="C1815" s="331"/>
      <c r="D1815" s="584"/>
      <c r="E1815" s="78">
        <f>30+50+150+20+50</f>
        <v>300</v>
      </c>
      <c r="F1815" s="123">
        <v>2</v>
      </c>
      <c r="G1815" s="337"/>
      <c r="H1815" s="337"/>
      <c r="I1815" s="329"/>
      <c r="J1815" s="329"/>
      <c r="K1815" s="329"/>
      <c r="L1815" s="329"/>
      <c r="M1815" s="329"/>
      <c r="N1815" s="329"/>
    </row>
    <row r="1816" spans="1:14" ht="11.25" customHeight="1">
      <c r="A1816" s="402"/>
      <c r="B1816" s="658"/>
      <c r="C1816" s="331"/>
      <c r="D1816" s="584"/>
      <c r="E1816" s="78">
        <f>SUM(E1814:E1815)</f>
        <v>3300</v>
      </c>
      <c r="F1816" s="123">
        <v>5</v>
      </c>
      <c r="G1816" s="337"/>
      <c r="H1816" s="337"/>
      <c r="I1816" s="329"/>
      <c r="J1816" s="329"/>
      <c r="K1816" s="329"/>
      <c r="L1816" s="329"/>
      <c r="M1816" s="329"/>
      <c r="N1816" s="329"/>
    </row>
    <row r="1817" spans="1:14" ht="10.5" customHeight="1">
      <c r="A1817" s="402"/>
      <c r="B1817" s="658"/>
      <c r="C1817" s="331"/>
      <c r="D1817" s="320">
        <v>2015</v>
      </c>
      <c r="E1817" s="78">
        <v>3000</v>
      </c>
      <c r="F1817" s="123">
        <v>1</v>
      </c>
      <c r="G1817" s="337"/>
      <c r="H1817" s="337"/>
      <c r="I1817" s="329"/>
      <c r="J1817" s="329"/>
      <c r="K1817" s="329"/>
      <c r="L1817" s="329"/>
      <c r="M1817" s="329"/>
      <c r="N1817" s="329"/>
    </row>
    <row r="1818" spans="1:14" ht="10.5" customHeight="1">
      <c r="A1818" s="402"/>
      <c r="B1818" s="658"/>
      <c r="C1818" s="331"/>
      <c r="D1818" s="584"/>
      <c r="E1818" s="78">
        <f>30+175+30+50</f>
        <v>285</v>
      </c>
      <c r="F1818" s="123">
        <v>2</v>
      </c>
      <c r="G1818" s="337"/>
      <c r="H1818" s="337"/>
      <c r="I1818" s="329"/>
      <c r="J1818" s="329"/>
      <c r="K1818" s="329"/>
      <c r="L1818" s="329"/>
      <c r="M1818" s="329"/>
      <c r="N1818" s="329"/>
    </row>
    <row r="1819" spans="1:14" ht="9.75" customHeight="1">
      <c r="A1819" s="402"/>
      <c r="B1819" s="658"/>
      <c r="C1819" s="339"/>
      <c r="D1819" s="584"/>
      <c r="E1819" s="78">
        <f>SUM(E1817:E1818)</f>
        <v>3285</v>
      </c>
      <c r="F1819" s="123">
        <v>5</v>
      </c>
      <c r="G1819" s="337"/>
      <c r="H1819" s="337"/>
      <c r="I1819" s="329"/>
      <c r="J1819" s="329"/>
      <c r="K1819" s="329"/>
      <c r="L1819" s="329"/>
      <c r="M1819" s="329"/>
      <c r="N1819" s="329"/>
    </row>
    <row r="1820" spans="1:14" ht="10.5" customHeight="1">
      <c r="A1820" s="402"/>
      <c r="B1820" s="395" t="s">
        <v>23</v>
      </c>
      <c r="C1820" s="643"/>
      <c r="D1820" s="320" t="s">
        <v>120</v>
      </c>
      <c r="E1820" s="78">
        <f>E1823+E1826+E1829+E1830+E1831</f>
        <v>2025</v>
      </c>
      <c r="F1820" s="123">
        <v>1</v>
      </c>
      <c r="G1820" s="337"/>
      <c r="H1820" s="337"/>
      <c r="I1820" s="329"/>
      <c r="J1820" s="329"/>
      <c r="K1820" s="329"/>
      <c r="L1820" s="329"/>
      <c r="M1820" s="329"/>
      <c r="N1820" s="329"/>
    </row>
    <row r="1821" spans="1:14" ht="10.5" customHeight="1">
      <c r="A1821" s="402"/>
      <c r="B1821" s="396"/>
      <c r="C1821" s="338"/>
      <c r="D1821" s="584"/>
      <c r="E1821" s="78">
        <f>E1824+E1827</f>
        <v>440</v>
      </c>
      <c r="F1821" s="123" t="s">
        <v>258</v>
      </c>
      <c r="G1821" s="494"/>
      <c r="H1821" s="494"/>
      <c r="I1821" s="494"/>
      <c r="J1821" s="494"/>
      <c r="K1821" s="494"/>
      <c r="L1821" s="494"/>
      <c r="M1821" s="494"/>
      <c r="N1821" s="494"/>
    </row>
    <row r="1822" spans="1:14" ht="11.25" customHeight="1">
      <c r="A1822" s="402"/>
      <c r="B1822" s="396"/>
      <c r="C1822" s="338"/>
      <c r="D1822" s="584"/>
      <c r="E1822" s="78">
        <f>SUM(E1820:E1821)</f>
        <v>2465</v>
      </c>
      <c r="F1822" s="123">
        <v>5</v>
      </c>
      <c r="G1822" s="494"/>
      <c r="H1822" s="494"/>
      <c r="I1822" s="494"/>
      <c r="J1822" s="494"/>
      <c r="K1822" s="494"/>
      <c r="L1822" s="494"/>
      <c r="M1822" s="494"/>
      <c r="N1822" s="494"/>
    </row>
    <row r="1823" spans="1:14" ht="9.75" customHeight="1">
      <c r="A1823" s="402"/>
      <c r="B1823" s="396"/>
      <c r="C1823" s="338"/>
      <c r="D1823" s="320">
        <v>2011</v>
      </c>
      <c r="E1823" s="78">
        <f>600+45+100</f>
        <v>745</v>
      </c>
      <c r="F1823" s="123">
        <v>1</v>
      </c>
      <c r="G1823" s="337"/>
      <c r="H1823" s="337"/>
      <c r="I1823" s="329"/>
      <c r="J1823" s="329"/>
      <c r="K1823" s="329"/>
      <c r="L1823" s="329"/>
      <c r="M1823" s="329"/>
      <c r="N1823" s="329"/>
    </row>
    <row r="1824" spans="1:14" ht="10.5" customHeight="1">
      <c r="A1824" s="402"/>
      <c r="B1824" s="396"/>
      <c r="C1824" s="338"/>
      <c r="D1824" s="584"/>
      <c r="E1824" s="78">
        <f>50+370</f>
        <v>420</v>
      </c>
      <c r="F1824" s="123" t="s">
        <v>258</v>
      </c>
      <c r="G1824" s="337"/>
      <c r="H1824" s="337"/>
      <c r="I1824" s="329"/>
      <c r="J1824" s="329"/>
      <c r="K1824" s="329"/>
      <c r="L1824" s="329"/>
      <c r="M1824" s="329"/>
      <c r="N1824" s="329"/>
    </row>
    <row r="1825" spans="1:14" ht="11.25" customHeight="1">
      <c r="A1825" s="402"/>
      <c r="B1825" s="396"/>
      <c r="C1825" s="338"/>
      <c r="D1825" s="584"/>
      <c r="E1825" s="78">
        <f>SUM(E1823:E1824)</f>
        <v>1165</v>
      </c>
      <c r="F1825" s="123">
        <v>5</v>
      </c>
      <c r="G1825" s="337"/>
      <c r="H1825" s="337"/>
      <c r="I1825" s="329"/>
      <c r="J1825" s="329"/>
      <c r="K1825" s="329"/>
      <c r="L1825" s="329"/>
      <c r="M1825" s="329"/>
      <c r="N1825" s="329"/>
    </row>
    <row r="1826" spans="1:14" ht="10.5" customHeight="1">
      <c r="A1826" s="402"/>
      <c r="B1826" s="396"/>
      <c r="C1826" s="338"/>
      <c r="D1826" s="320">
        <v>2012</v>
      </c>
      <c r="E1826" s="78">
        <f>600+45+120</f>
        <v>765</v>
      </c>
      <c r="F1826" s="123">
        <v>1</v>
      </c>
      <c r="G1826" s="337"/>
      <c r="H1826" s="337"/>
      <c r="I1826" s="329"/>
      <c r="J1826" s="329"/>
      <c r="K1826" s="329"/>
      <c r="L1826" s="329"/>
      <c r="M1826" s="329"/>
      <c r="N1826" s="329"/>
    </row>
    <row r="1827" spans="1:14" ht="10.5" customHeight="1">
      <c r="A1827" s="402"/>
      <c r="B1827" s="396"/>
      <c r="C1827" s="338"/>
      <c r="D1827" s="584"/>
      <c r="E1827" s="78">
        <f>20</f>
        <v>20</v>
      </c>
      <c r="F1827" s="123" t="s">
        <v>258</v>
      </c>
      <c r="G1827" s="494"/>
      <c r="H1827" s="494"/>
      <c r="I1827" s="494"/>
      <c r="J1827" s="494"/>
      <c r="K1827" s="494"/>
      <c r="L1827" s="494"/>
      <c r="M1827" s="494"/>
      <c r="N1827" s="494"/>
    </row>
    <row r="1828" spans="1:14" ht="9.75" customHeight="1">
      <c r="A1828" s="402"/>
      <c r="B1828" s="396"/>
      <c r="C1828" s="338"/>
      <c r="D1828" s="584"/>
      <c r="E1828" s="78">
        <f>SUM(E1826:E1827)</f>
        <v>785</v>
      </c>
      <c r="F1828" s="123">
        <v>5</v>
      </c>
      <c r="G1828" s="494"/>
      <c r="H1828" s="494"/>
      <c r="I1828" s="494"/>
      <c r="J1828" s="494"/>
      <c r="K1828" s="494"/>
      <c r="L1828" s="494"/>
      <c r="M1828" s="494"/>
      <c r="N1828" s="494"/>
    </row>
    <row r="1829" spans="1:14" ht="11.25" customHeight="1">
      <c r="A1829" s="402"/>
      <c r="B1829" s="396"/>
      <c r="C1829" s="338"/>
      <c r="D1829" s="134">
        <v>2013</v>
      </c>
      <c r="E1829" s="78">
        <f>45+120</f>
        <v>165</v>
      </c>
      <c r="F1829" s="123">
        <v>1</v>
      </c>
      <c r="G1829" s="119"/>
      <c r="H1829" s="119"/>
      <c r="I1829" s="119"/>
      <c r="J1829" s="119"/>
      <c r="K1829" s="119"/>
      <c r="L1829" s="119"/>
      <c r="M1829" s="119"/>
      <c r="N1829" s="119"/>
    </row>
    <row r="1830" spans="1:14" ht="9.75" customHeight="1">
      <c r="A1830" s="402"/>
      <c r="B1830" s="396"/>
      <c r="C1830" s="338"/>
      <c r="D1830" s="134">
        <v>2014</v>
      </c>
      <c r="E1830" s="78">
        <f>60+120</f>
        <v>180</v>
      </c>
      <c r="F1830" s="123">
        <v>1</v>
      </c>
      <c r="G1830" s="119"/>
      <c r="H1830" s="119"/>
      <c r="I1830" s="119"/>
      <c r="J1830" s="119"/>
      <c r="K1830" s="119"/>
      <c r="L1830" s="119"/>
      <c r="M1830" s="119"/>
      <c r="N1830" s="119"/>
    </row>
    <row r="1831" spans="1:14" ht="10.5" customHeight="1">
      <c r="A1831" s="360"/>
      <c r="B1831" s="397"/>
      <c r="C1831" s="462"/>
      <c r="D1831" s="134">
        <v>2015</v>
      </c>
      <c r="E1831" s="78">
        <f>60+110</f>
        <v>170</v>
      </c>
      <c r="F1831" s="123">
        <v>1</v>
      </c>
      <c r="G1831" s="119"/>
      <c r="H1831" s="119"/>
      <c r="I1831" s="119"/>
      <c r="J1831" s="119"/>
      <c r="K1831" s="119"/>
      <c r="L1831" s="119"/>
      <c r="M1831" s="119"/>
      <c r="N1831" s="119"/>
    </row>
    <row r="1832" spans="1:14" ht="10.5" customHeight="1">
      <c r="A1832" s="401">
        <v>153</v>
      </c>
      <c r="B1832" s="395" t="s">
        <v>464</v>
      </c>
      <c r="C1832" s="407" t="s">
        <v>265</v>
      </c>
      <c r="D1832" s="322" t="s">
        <v>120</v>
      </c>
      <c r="E1832" s="78">
        <f>E1837+E1841+E1844+E1848+E1852</f>
        <v>5200.3</v>
      </c>
      <c r="F1832" s="123">
        <v>1</v>
      </c>
      <c r="G1832" s="337">
        <f>SUM(G1837:G1854)</f>
        <v>0.73</v>
      </c>
      <c r="H1832" s="337">
        <f>SUM(H1837:H1854)</f>
        <v>2122.29</v>
      </c>
      <c r="I1832" s="329">
        <f>SUM(I1837:I1854)</f>
        <v>0.22200000000000003</v>
      </c>
      <c r="J1832" s="329"/>
      <c r="K1832" s="329"/>
      <c r="L1832" s="329">
        <f>SUM(L1837:L1854)</f>
        <v>0.079</v>
      </c>
      <c r="M1832" s="329">
        <f>SUM(M1837:M1854)</f>
        <v>2.3400000000000003</v>
      </c>
      <c r="N1832" s="329"/>
    </row>
    <row r="1833" spans="1:14" ht="9.75" customHeight="1">
      <c r="A1833" s="402"/>
      <c r="B1833" s="396"/>
      <c r="C1833" s="331"/>
      <c r="D1833" s="322"/>
      <c r="E1833" s="78">
        <f>E1838+E1842+E1845+E1849+E1853</f>
        <v>2244.7</v>
      </c>
      <c r="F1833" s="123">
        <v>2</v>
      </c>
      <c r="G1833" s="337"/>
      <c r="H1833" s="337"/>
      <c r="I1833" s="329"/>
      <c r="J1833" s="329"/>
      <c r="K1833" s="329"/>
      <c r="L1833" s="329"/>
      <c r="M1833" s="329"/>
      <c r="N1833" s="329"/>
    </row>
    <row r="1834" spans="1:14" ht="10.5" customHeight="1">
      <c r="A1834" s="402"/>
      <c r="B1834" s="396"/>
      <c r="C1834" s="331"/>
      <c r="D1834" s="322"/>
      <c r="E1834" s="78">
        <f>E1839</f>
        <v>6</v>
      </c>
      <c r="F1834" s="123">
        <v>3</v>
      </c>
      <c r="G1834" s="337"/>
      <c r="H1834" s="337"/>
      <c r="I1834" s="329"/>
      <c r="J1834" s="329"/>
      <c r="K1834" s="329"/>
      <c r="L1834" s="329"/>
      <c r="M1834" s="329"/>
      <c r="N1834" s="329"/>
    </row>
    <row r="1835" spans="1:14" ht="10.5" customHeight="1">
      <c r="A1835" s="402"/>
      <c r="B1835" s="396"/>
      <c r="C1835" s="331"/>
      <c r="D1835" s="322"/>
      <c r="E1835" s="78">
        <f>E1846+E1850</f>
        <v>850</v>
      </c>
      <c r="F1835" s="123">
        <v>4</v>
      </c>
      <c r="G1835" s="337"/>
      <c r="H1835" s="337"/>
      <c r="I1835" s="329"/>
      <c r="J1835" s="329"/>
      <c r="K1835" s="329"/>
      <c r="L1835" s="329"/>
      <c r="M1835" s="329"/>
      <c r="N1835" s="329"/>
    </row>
    <row r="1836" spans="1:14" ht="10.5" customHeight="1">
      <c r="A1836" s="402"/>
      <c r="B1836" s="396"/>
      <c r="C1836" s="331"/>
      <c r="D1836" s="322"/>
      <c r="E1836" s="78">
        <f>SUM(E1832:E1835)</f>
        <v>8301</v>
      </c>
      <c r="F1836" s="123">
        <v>5</v>
      </c>
      <c r="G1836" s="337"/>
      <c r="H1836" s="337"/>
      <c r="I1836" s="329"/>
      <c r="J1836" s="329"/>
      <c r="K1836" s="329"/>
      <c r="L1836" s="329"/>
      <c r="M1836" s="329"/>
      <c r="N1836" s="329"/>
    </row>
    <row r="1837" spans="1:14" ht="10.5" customHeight="1">
      <c r="A1837" s="402"/>
      <c r="B1837" s="396"/>
      <c r="C1837" s="331"/>
      <c r="D1837" s="322">
        <v>2011</v>
      </c>
      <c r="E1837" s="78">
        <f>194.4+48+500</f>
        <v>742.4</v>
      </c>
      <c r="F1837" s="123">
        <v>1</v>
      </c>
      <c r="G1837" s="337">
        <v>0.13</v>
      </c>
      <c r="H1837" s="337">
        <v>226.2</v>
      </c>
      <c r="I1837" s="329">
        <v>0.108</v>
      </c>
      <c r="J1837" s="329"/>
      <c r="K1837" s="329"/>
      <c r="L1837" s="329">
        <v>0.02</v>
      </c>
      <c r="M1837" s="329"/>
      <c r="N1837" s="329"/>
    </row>
    <row r="1838" spans="1:14" ht="10.5" customHeight="1">
      <c r="A1838" s="402"/>
      <c r="B1838" s="396"/>
      <c r="C1838" s="331"/>
      <c r="D1838" s="322"/>
      <c r="E1838" s="78">
        <f>21.6+6+220+75+80</f>
        <v>402.6</v>
      </c>
      <c r="F1838" s="123">
        <v>2</v>
      </c>
      <c r="G1838" s="337"/>
      <c r="H1838" s="337"/>
      <c r="I1838" s="329"/>
      <c r="J1838" s="329"/>
      <c r="K1838" s="329"/>
      <c r="L1838" s="329"/>
      <c r="M1838" s="329"/>
      <c r="N1838" s="329"/>
    </row>
    <row r="1839" spans="1:14" ht="10.5" customHeight="1">
      <c r="A1839" s="402"/>
      <c r="B1839" s="396"/>
      <c r="C1839" s="331"/>
      <c r="D1839" s="322"/>
      <c r="E1839" s="78">
        <f>6</f>
        <v>6</v>
      </c>
      <c r="F1839" s="123">
        <v>3</v>
      </c>
      <c r="G1839" s="337"/>
      <c r="H1839" s="337"/>
      <c r="I1839" s="329"/>
      <c r="J1839" s="329"/>
      <c r="K1839" s="329"/>
      <c r="L1839" s="329"/>
      <c r="M1839" s="329"/>
      <c r="N1839" s="329"/>
    </row>
    <row r="1840" spans="1:14" ht="10.5" customHeight="1">
      <c r="A1840" s="402"/>
      <c r="B1840" s="396"/>
      <c r="C1840" s="331"/>
      <c r="D1840" s="322"/>
      <c r="E1840" s="78">
        <f>SUM(E1837:E1839)</f>
        <v>1151</v>
      </c>
      <c r="F1840" s="123">
        <v>5</v>
      </c>
      <c r="G1840" s="337"/>
      <c r="H1840" s="337"/>
      <c r="I1840" s="329"/>
      <c r="J1840" s="329"/>
      <c r="K1840" s="329"/>
      <c r="L1840" s="329"/>
      <c r="M1840" s="329"/>
      <c r="N1840" s="329"/>
    </row>
    <row r="1841" spans="1:14" ht="9.75" customHeight="1">
      <c r="A1841" s="402"/>
      <c r="B1841" s="396"/>
      <c r="C1841" s="331"/>
      <c r="D1841" s="322">
        <v>2012</v>
      </c>
      <c r="E1841" s="78">
        <f>1364.4+26+500</f>
        <v>1890.4</v>
      </c>
      <c r="F1841" s="123">
        <v>1</v>
      </c>
      <c r="G1841" s="337">
        <v>0.19</v>
      </c>
      <c r="H1841" s="337">
        <v>809.05</v>
      </c>
      <c r="I1841" s="329">
        <v>0.034</v>
      </c>
      <c r="J1841" s="329"/>
      <c r="K1841" s="329"/>
      <c r="L1841" s="329">
        <v>0.005</v>
      </c>
      <c r="M1841" s="329">
        <v>1.055</v>
      </c>
      <c r="N1841" s="329"/>
    </row>
    <row r="1842" spans="1:14" ht="11.25" customHeight="1">
      <c r="A1842" s="402"/>
      <c r="B1842" s="396"/>
      <c r="C1842" s="331"/>
      <c r="D1842" s="322"/>
      <c r="E1842" s="78">
        <f>151.6+10+270+75+2</f>
        <v>508.6</v>
      </c>
      <c r="F1842" s="123">
        <v>2</v>
      </c>
      <c r="G1842" s="337"/>
      <c r="H1842" s="337"/>
      <c r="I1842" s="329"/>
      <c r="J1842" s="329"/>
      <c r="K1842" s="329"/>
      <c r="L1842" s="329"/>
      <c r="M1842" s="329"/>
      <c r="N1842" s="329"/>
    </row>
    <row r="1843" spans="1:14" ht="11.25" customHeight="1">
      <c r="A1843" s="402"/>
      <c r="B1843" s="396"/>
      <c r="C1843" s="331"/>
      <c r="D1843" s="322"/>
      <c r="E1843" s="78">
        <f>SUM(E1841:E1842)</f>
        <v>2399</v>
      </c>
      <c r="F1843" s="123">
        <v>5</v>
      </c>
      <c r="G1843" s="337"/>
      <c r="H1843" s="337"/>
      <c r="I1843" s="329"/>
      <c r="J1843" s="329"/>
      <c r="K1843" s="329"/>
      <c r="L1843" s="329"/>
      <c r="M1843" s="329"/>
      <c r="N1843" s="329"/>
    </row>
    <row r="1844" spans="1:14" ht="10.5" customHeight="1">
      <c r="A1844" s="402"/>
      <c r="B1844" s="396"/>
      <c r="C1844" s="331"/>
      <c r="D1844" s="322">
        <v>2013</v>
      </c>
      <c r="E1844" s="78">
        <v>1093.5</v>
      </c>
      <c r="F1844" s="123">
        <v>1</v>
      </c>
      <c r="G1844" s="337">
        <v>0.16</v>
      </c>
      <c r="H1844" s="337">
        <v>770</v>
      </c>
      <c r="I1844" s="329"/>
      <c r="J1844" s="329"/>
      <c r="K1844" s="329"/>
      <c r="L1844" s="329"/>
      <c r="M1844" s="329">
        <v>1.1</v>
      </c>
      <c r="N1844" s="329"/>
    </row>
    <row r="1845" spans="1:14" ht="11.25" customHeight="1">
      <c r="A1845" s="402"/>
      <c r="B1845" s="396"/>
      <c r="C1845" s="331"/>
      <c r="D1845" s="322"/>
      <c r="E1845" s="78">
        <f>121.5+10+330+50</f>
        <v>511.5</v>
      </c>
      <c r="F1845" s="123">
        <v>2</v>
      </c>
      <c r="G1845" s="337"/>
      <c r="H1845" s="337"/>
      <c r="I1845" s="329"/>
      <c r="J1845" s="329"/>
      <c r="K1845" s="329"/>
      <c r="L1845" s="329"/>
      <c r="M1845" s="329"/>
      <c r="N1845" s="329"/>
    </row>
    <row r="1846" spans="1:14" ht="10.5" customHeight="1">
      <c r="A1846" s="402"/>
      <c r="B1846" s="396"/>
      <c r="C1846" s="331"/>
      <c r="D1846" s="322"/>
      <c r="E1846" s="78">
        <v>400</v>
      </c>
      <c r="F1846" s="123">
        <v>4</v>
      </c>
      <c r="G1846" s="337"/>
      <c r="H1846" s="337"/>
      <c r="I1846" s="329"/>
      <c r="J1846" s="329"/>
      <c r="K1846" s="329"/>
      <c r="L1846" s="329"/>
      <c r="M1846" s="329"/>
      <c r="N1846" s="329"/>
    </row>
    <row r="1847" spans="1:14" ht="10.5" customHeight="1">
      <c r="A1847" s="402"/>
      <c r="B1847" s="396"/>
      <c r="C1847" s="331"/>
      <c r="D1847" s="322"/>
      <c r="E1847" s="78">
        <f>SUM(E1844:E1846)</f>
        <v>2005</v>
      </c>
      <c r="F1847" s="123">
        <v>5</v>
      </c>
      <c r="G1847" s="337"/>
      <c r="H1847" s="337"/>
      <c r="I1847" s="329"/>
      <c r="J1847" s="329"/>
      <c r="K1847" s="329"/>
      <c r="L1847" s="329"/>
      <c r="M1847" s="329"/>
      <c r="N1847" s="329"/>
    </row>
    <row r="1848" spans="1:14" ht="9.75" customHeight="1">
      <c r="A1848" s="394"/>
      <c r="B1848" s="398"/>
      <c r="C1848" s="331"/>
      <c r="D1848" s="322">
        <v>2014</v>
      </c>
      <c r="E1848" s="78">
        <f>270+160</f>
        <v>430</v>
      </c>
      <c r="F1848" s="123">
        <v>1</v>
      </c>
      <c r="G1848" s="337">
        <v>0.16</v>
      </c>
      <c r="H1848" s="337">
        <v>170.72</v>
      </c>
      <c r="I1848" s="586">
        <v>0.015</v>
      </c>
      <c r="J1848" s="304"/>
      <c r="K1848" s="304"/>
      <c r="L1848" s="622">
        <v>0.022</v>
      </c>
      <c r="M1848" s="329">
        <v>0.185</v>
      </c>
      <c r="N1848" s="329"/>
    </row>
    <row r="1849" spans="1:14" ht="10.5" customHeight="1">
      <c r="A1849" s="394"/>
      <c r="B1849" s="398"/>
      <c r="C1849" s="331"/>
      <c r="D1849" s="322"/>
      <c r="E1849" s="78">
        <f>30+40+220+300</f>
        <v>590</v>
      </c>
      <c r="F1849" s="123">
        <v>2</v>
      </c>
      <c r="G1849" s="337"/>
      <c r="H1849" s="337"/>
      <c r="I1849" s="586"/>
      <c r="J1849" s="305"/>
      <c r="K1849" s="305"/>
      <c r="L1849" s="622"/>
      <c r="M1849" s="329"/>
      <c r="N1849" s="329"/>
    </row>
    <row r="1850" spans="1:14" ht="10.5" customHeight="1">
      <c r="A1850" s="394"/>
      <c r="B1850" s="398"/>
      <c r="C1850" s="331"/>
      <c r="D1850" s="322"/>
      <c r="E1850" s="78">
        <v>450</v>
      </c>
      <c r="F1850" s="123">
        <v>4</v>
      </c>
      <c r="G1850" s="337"/>
      <c r="H1850" s="337"/>
      <c r="I1850" s="586"/>
      <c r="J1850" s="305"/>
      <c r="K1850" s="305"/>
      <c r="L1850" s="622"/>
      <c r="M1850" s="329"/>
      <c r="N1850" s="329"/>
    </row>
    <row r="1851" spans="1:14" ht="10.5" customHeight="1">
      <c r="A1851" s="394"/>
      <c r="B1851" s="398"/>
      <c r="C1851" s="331"/>
      <c r="D1851" s="322"/>
      <c r="E1851" s="78">
        <f>SUM(E1848:E1850)</f>
        <v>1470</v>
      </c>
      <c r="F1851" s="123">
        <v>5</v>
      </c>
      <c r="G1851" s="337"/>
      <c r="H1851" s="337"/>
      <c r="I1851" s="586"/>
      <c r="J1851" s="306"/>
      <c r="K1851" s="306"/>
      <c r="L1851" s="622"/>
      <c r="M1851" s="329"/>
      <c r="N1851" s="329"/>
    </row>
    <row r="1852" spans="1:14" ht="9.75" customHeight="1">
      <c r="A1852" s="394"/>
      <c r="B1852" s="398"/>
      <c r="C1852" s="331"/>
      <c r="D1852" s="322">
        <v>2015</v>
      </c>
      <c r="E1852" s="78">
        <f>44+1000</f>
        <v>1044</v>
      </c>
      <c r="F1852" s="123">
        <v>1</v>
      </c>
      <c r="G1852" s="337">
        <v>0.09</v>
      </c>
      <c r="H1852" s="337">
        <v>146.32</v>
      </c>
      <c r="I1852" s="586">
        <v>0.065</v>
      </c>
      <c r="J1852" s="304"/>
      <c r="K1852" s="304"/>
      <c r="L1852" s="622">
        <v>0.032</v>
      </c>
      <c r="M1852" s="329"/>
      <c r="N1852" s="329"/>
    </row>
    <row r="1853" spans="1:14" ht="9.75" customHeight="1">
      <c r="A1853" s="394"/>
      <c r="B1853" s="398"/>
      <c r="C1853" s="331"/>
      <c r="D1853" s="322"/>
      <c r="E1853" s="78">
        <f>12+220</f>
        <v>232</v>
      </c>
      <c r="F1853" s="123">
        <v>2</v>
      </c>
      <c r="G1853" s="337"/>
      <c r="H1853" s="337"/>
      <c r="I1853" s="586"/>
      <c r="J1853" s="305"/>
      <c r="K1853" s="305"/>
      <c r="L1853" s="622"/>
      <c r="M1853" s="329"/>
      <c r="N1853" s="329"/>
    </row>
    <row r="1854" spans="1:14" ht="9.75" customHeight="1">
      <c r="A1854" s="413"/>
      <c r="B1854" s="399"/>
      <c r="C1854" s="339"/>
      <c r="D1854" s="322"/>
      <c r="E1854" s="78">
        <f>SUM(E1852:E1853)</f>
        <v>1276</v>
      </c>
      <c r="F1854" s="123">
        <v>5</v>
      </c>
      <c r="G1854" s="337"/>
      <c r="H1854" s="337"/>
      <c r="I1854" s="586"/>
      <c r="J1854" s="306"/>
      <c r="K1854" s="306"/>
      <c r="L1854" s="622"/>
      <c r="M1854" s="329"/>
      <c r="N1854" s="329"/>
    </row>
    <row r="1855" spans="1:14" ht="9.75" customHeight="1">
      <c r="A1855" s="168">
        <v>154</v>
      </c>
      <c r="B1855" s="395" t="s">
        <v>463</v>
      </c>
      <c r="C1855" s="407" t="s">
        <v>265</v>
      </c>
      <c r="D1855" s="320" t="s">
        <v>120</v>
      </c>
      <c r="E1855" s="78">
        <f>E1859+E1873+E1877+E1881+E1863</f>
        <v>8166.756</v>
      </c>
      <c r="F1855" s="123">
        <v>1</v>
      </c>
      <c r="G1855" s="337">
        <f>G1859+G1863+G1873+G1877+G1881</f>
        <v>1.22</v>
      </c>
      <c r="H1855" s="337">
        <f>H1859+H1863+H1873+H1877+H1881</f>
        <v>1842.48</v>
      </c>
      <c r="I1855" s="329"/>
      <c r="J1855" s="306"/>
      <c r="K1855" s="306">
        <f>K1859+K1863+K1873+K1877+K1881</f>
        <v>1.418</v>
      </c>
      <c r="L1855" s="329"/>
      <c r="M1855" s="329"/>
      <c r="N1855" s="329"/>
    </row>
    <row r="1856" spans="1:14" ht="9.75" customHeight="1">
      <c r="A1856" s="169"/>
      <c r="B1856" s="396"/>
      <c r="C1856" s="408"/>
      <c r="D1856" s="320"/>
      <c r="E1856" s="78">
        <f>E1860+E1874+E1878+E1882</f>
        <v>454.48</v>
      </c>
      <c r="F1856" s="123">
        <v>2</v>
      </c>
      <c r="G1856" s="337"/>
      <c r="H1856" s="337"/>
      <c r="I1856" s="329"/>
      <c r="J1856" s="329"/>
      <c r="K1856" s="329"/>
      <c r="L1856" s="329"/>
      <c r="M1856" s="329"/>
      <c r="N1856" s="329"/>
    </row>
    <row r="1857" spans="1:14" ht="12.75" customHeight="1">
      <c r="A1857" s="169"/>
      <c r="B1857" s="396"/>
      <c r="C1857" s="408"/>
      <c r="D1857" s="320"/>
      <c r="E1857" s="78">
        <v>100</v>
      </c>
      <c r="F1857" s="123" t="s">
        <v>258</v>
      </c>
      <c r="G1857" s="337"/>
      <c r="H1857" s="337"/>
      <c r="I1857" s="329"/>
      <c r="J1857" s="329"/>
      <c r="K1857" s="329"/>
      <c r="L1857" s="329"/>
      <c r="M1857" s="329"/>
      <c r="N1857" s="329"/>
    </row>
    <row r="1858" spans="1:14" ht="11.25" customHeight="1">
      <c r="A1858" s="169"/>
      <c r="B1858" s="396"/>
      <c r="C1858" s="408"/>
      <c r="D1858" s="320"/>
      <c r="E1858" s="78">
        <f>E1855+E1856</f>
        <v>8621.236</v>
      </c>
      <c r="F1858" s="123">
        <v>5</v>
      </c>
      <c r="G1858" s="337"/>
      <c r="H1858" s="337"/>
      <c r="I1858" s="329"/>
      <c r="J1858" s="329"/>
      <c r="K1858" s="329"/>
      <c r="L1858" s="329"/>
      <c r="M1858" s="329"/>
      <c r="N1858" s="329"/>
    </row>
    <row r="1859" spans="1:14" ht="9.75" customHeight="1">
      <c r="A1859" s="169"/>
      <c r="B1859" s="164"/>
      <c r="C1859" s="81"/>
      <c r="D1859" s="320">
        <v>2011</v>
      </c>
      <c r="E1859" s="78">
        <f>661.3+322+120+170+200+800</f>
        <v>2273.3</v>
      </c>
      <c r="F1859" s="123">
        <v>1</v>
      </c>
      <c r="G1859" s="337">
        <v>0.34</v>
      </c>
      <c r="H1859" s="337">
        <v>258.66</v>
      </c>
      <c r="I1859" s="329"/>
      <c r="J1859" s="329"/>
      <c r="K1859" s="329">
        <v>0.457</v>
      </c>
      <c r="L1859" s="329"/>
      <c r="M1859" s="329"/>
      <c r="N1859" s="329"/>
    </row>
    <row r="1860" spans="1:14" ht="10.5" customHeight="1">
      <c r="A1860" s="169"/>
      <c r="B1860" s="164"/>
      <c r="C1860" s="81"/>
      <c r="D1860" s="320"/>
      <c r="E1860" s="78">
        <f>73.48+28+15+20+20+80+32</f>
        <v>268.48</v>
      </c>
      <c r="F1860" s="123">
        <v>2</v>
      </c>
      <c r="G1860" s="337"/>
      <c r="H1860" s="337"/>
      <c r="I1860" s="329"/>
      <c r="J1860" s="329"/>
      <c r="K1860" s="329"/>
      <c r="L1860" s="329"/>
      <c r="M1860" s="329"/>
      <c r="N1860" s="329"/>
    </row>
    <row r="1861" spans="1:14" ht="10.5" customHeight="1">
      <c r="A1861" s="169"/>
      <c r="B1861" s="164"/>
      <c r="C1861" s="81"/>
      <c r="D1861" s="320"/>
      <c r="E1861" s="78">
        <v>20</v>
      </c>
      <c r="F1861" s="123" t="s">
        <v>258</v>
      </c>
      <c r="G1861" s="337"/>
      <c r="H1861" s="337"/>
      <c r="I1861" s="329"/>
      <c r="J1861" s="329"/>
      <c r="K1861" s="329"/>
      <c r="L1861" s="329"/>
      <c r="M1861" s="329"/>
      <c r="N1861" s="329"/>
    </row>
    <row r="1862" spans="1:14" ht="9.75" customHeight="1">
      <c r="A1862" s="169"/>
      <c r="B1862" s="164"/>
      <c r="C1862" s="81"/>
      <c r="D1862" s="320"/>
      <c r="E1862" s="78">
        <f>E1859+E1860</f>
        <v>2541.78</v>
      </c>
      <c r="F1862" s="123">
        <v>5</v>
      </c>
      <c r="G1862" s="337"/>
      <c r="H1862" s="337"/>
      <c r="I1862" s="329"/>
      <c r="J1862" s="329"/>
      <c r="K1862" s="329"/>
      <c r="L1862" s="329"/>
      <c r="M1862" s="329"/>
      <c r="N1862" s="329"/>
    </row>
    <row r="1863" spans="1:14" ht="10.5" customHeight="1">
      <c r="A1863" s="169"/>
      <c r="B1863" s="80"/>
      <c r="C1863" s="81"/>
      <c r="D1863" s="18">
        <v>2012</v>
      </c>
      <c r="E1863" s="78">
        <f>E1867+E1868+E1869+E1870+E1871+E1872</f>
        <v>5113.456</v>
      </c>
      <c r="F1863" s="123">
        <v>1</v>
      </c>
      <c r="G1863" s="337">
        <v>0.64</v>
      </c>
      <c r="H1863" s="337">
        <v>1399.3</v>
      </c>
      <c r="I1863" s="329">
        <v>0.214</v>
      </c>
      <c r="J1863" s="329"/>
      <c r="K1863" s="329">
        <v>0.635</v>
      </c>
      <c r="L1863" s="329"/>
      <c r="M1863" s="329"/>
      <c r="N1863" s="329"/>
    </row>
    <row r="1864" spans="1:14" ht="10.5" customHeight="1">
      <c r="A1864" s="169"/>
      <c r="B1864" s="80"/>
      <c r="C1864" s="81"/>
      <c r="D1864" s="81"/>
      <c r="E1864" s="78">
        <f>15+10+60+10+32</f>
        <v>127</v>
      </c>
      <c r="F1864" s="123">
        <v>2</v>
      </c>
      <c r="G1864" s="337"/>
      <c r="H1864" s="337"/>
      <c r="I1864" s="329"/>
      <c r="J1864" s="329"/>
      <c r="K1864" s="329"/>
      <c r="L1864" s="329"/>
      <c r="M1864" s="329"/>
      <c r="N1864" s="329"/>
    </row>
    <row r="1865" spans="1:14" ht="10.5" customHeight="1">
      <c r="A1865" s="169"/>
      <c r="B1865" s="80"/>
      <c r="C1865" s="81"/>
      <c r="D1865" s="81"/>
      <c r="E1865" s="78">
        <v>20</v>
      </c>
      <c r="F1865" s="123" t="s">
        <v>258</v>
      </c>
      <c r="G1865" s="337"/>
      <c r="H1865" s="337"/>
      <c r="I1865" s="329"/>
      <c r="J1865" s="329"/>
      <c r="K1865" s="329"/>
      <c r="L1865" s="329"/>
      <c r="M1865" s="329"/>
      <c r="N1865" s="329"/>
    </row>
    <row r="1866" spans="1:14" ht="10.5" customHeight="1">
      <c r="A1866" s="169"/>
      <c r="B1866" s="81" t="s">
        <v>180</v>
      </c>
      <c r="C1866" s="81"/>
      <c r="D1866" s="81"/>
      <c r="E1866" s="78">
        <f>E1863+E1864</f>
        <v>5240.456</v>
      </c>
      <c r="F1866" s="123">
        <v>5</v>
      </c>
      <c r="G1866" s="337"/>
      <c r="H1866" s="337"/>
      <c r="I1866" s="329"/>
      <c r="J1866" s="329"/>
      <c r="K1866" s="329"/>
      <c r="L1866" s="329"/>
      <c r="M1866" s="329"/>
      <c r="N1866" s="329"/>
    </row>
    <row r="1867" spans="1:14" ht="111" customHeight="1">
      <c r="A1867" s="169"/>
      <c r="B1867" s="72" t="s">
        <v>391</v>
      </c>
      <c r="C1867" s="81"/>
      <c r="D1867" s="74"/>
      <c r="E1867" s="78">
        <v>883.112</v>
      </c>
      <c r="F1867" s="123">
        <v>1</v>
      </c>
      <c r="G1867" s="78">
        <v>0.086</v>
      </c>
      <c r="H1867" s="78">
        <v>224.2</v>
      </c>
      <c r="I1867" s="124">
        <v>0.075</v>
      </c>
      <c r="J1867" s="124"/>
      <c r="K1867" s="124"/>
      <c r="L1867" s="124"/>
      <c r="M1867" s="124"/>
      <c r="N1867" s="124"/>
    </row>
    <row r="1868" spans="1:14" ht="100.5" customHeight="1">
      <c r="A1868" s="169"/>
      <c r="B1868" s="72" t="s">
        <v>390</v>
      </c>
      <c r="C1868" s="81"/>
      <c r="D1868" s="74"/>
      <c r="E1868" s="78">
        <v>530.178</v>
      </c>
      <c r="F1868" s="123">
        <v>1</v>
      </c>
      <c r="G1868" s="78">
        <v>0.041</v>
      </c>
      <c r="H1868" s="78">
        <v>107.7</v>
      </c>
      <c r="I1868" s="124">
        <v>0.036</v>
      </c>
      <c r="J1868" s="124"/>
      <c r="K1868" s="124"/>
      <c r="L1868" s="124"/>
      <c r="M1868" s="124"/>
      <c r="N1868" s="124"/>
    </row>
    <row r="1869" spans="1:14" ht="111" customHeight="1">
      <c r="A1869" s="169"/>
      <c r="B1869" s="72" t="s">
        <v>392</v>
      </c>
      <c r="C1869" s="81"/>
      <c r="D1869" s="74"/>
      <c r="E1869" s="78">
        <v>1419.433</v>
      </c>
      <c r="F1869" s="123">
        <v>1</v>
      </c>
      <c r="G1869" s="78">
        <v>0.119</v>
      </c>
      <c r="H1869" s="78">
        <v>309.7</v>
      </c>
      <c r="I1869" s="124">
        <v>0.103</v>
      </c>
      <c r="J1869" s="124"/>
      <c r="K1869" s="124"/>
      <c r="L1869" s="124"/>
      <c r="M1869" s="124"/>
      <c r="N1869" s="124"/>
    </row>
    <row r="1870" spans="1:14" ht="120.75" customHeight="1">
      <c r="A1870" s="169"/>
      <c r="B1870" s="72" t="s">
        <v>393</v>
      </c>
      <c r="C1870" s="162"/>
      <c r="D1870" s="75"/>
      <c r="E1870" s="78">
        <v>1090.589</v>
      </c>
      <c r="F1870" s="123">
        <v>1</v>
      </c>
      <c r="G1870" s="78">
        <v>0.248</v>
      </c>
      <c r="H1870" s="78">
        <v>449.8</v>
      </c>
      <c r="I1870" s="124"/>
      <c r="J1870" s="124"/>
      <c r="K1870" s="124">
        <v>0.396</v>
      </c>
      <c r="L1870" s="124"/>
      <c r="M1870" s="124"/>
      <c r="N1870" s="124"/>
    </row>
    <row r="1871" spans="1:14" ht="122.25" customHeight="1">
      <c r="A1871" s="169"/>
      <c r="B1871" s="16" t="s">
        <v>394</v>
      </c>
      <c r="C1871" s="81"/>
      <c r="D1871" s="74"/>
      <c r="E1871" s="78">
        <v>720.469</v>
      </c>
      <c r="F1871" s="123">
        <v>1</v>
      </c>
      <c r="G1871" s="78">
        <v>0.11</v>
      </c>
      <c r="H1871" s="78">
        <v>200.2</v>
      </c>
      <c r="I1871" s="124"/>
      <c r="J1871" s="124"/>
      <c r="K1871" s="124">
        <v>0.175</v>
      </c>
      <c r="L1871" s="124"/>
      <c r="M1871" s="124"/>
      <c r="N1871" s="124"/>
    </row>
    <row r="1872" spans="1:14" ht="122.25" customHeight="1">
      <c r="A1872" s="402"/>
      <c r="B1872" s="72" t="s">
        <v>395</v>
      </c>
      <c r="C1872" s="331"/>
      <c r="D1872" s="75"/>
      <c r="E1872" s="78">
        <v>469.675</v>
      </c>
      <c r="F1872" s="123">
        <v>1</v>
      </c>
      <c r="G1872" s="78">
        <v>0.04</v>
      </c>
      <c r="H1872" s="78">
        <v>107.7</v>
      </c>
      <c r="I1872" s="124"/>
      <c r="J1872" s="124"/>
      <c r="K1872" s="124">
        <v>0.064</v>
      </c>
      <c r="L1872" s="124"/>
      <c r="M1872" s="124"/>
      <c r="N1872" s="124"/>
    </row>
    <row r="1873" spans="1:14" ht="9.75" customHeight="1">
      <c r="A1873" s="394"/>
      <c r="B1873" s="164"/>
      <c r="C1873" s="408"/>
      <c r="D1873" s="587">
        <v>2013</v>
      </c>
      <c r="E1873" s="83">
        <f>500+80+70</f>
        <v>650</v>
      </c>
      <c r="F1873" s="189">
        <v>1</v>
      </c>
      <c r="G1873" s="336">
        <v>0.18</v>
      </c>
      <c r="H1873" s="336">
        <v>133.58</v>
      </c>
      <c r="I1873" s="306"/>
      <c r="J1873" s="306"/>
      <c r="K1873" s="306">
        <v>0.236</v>
      </c>
      <c r="L1873" s="306"/>
      <c r="M1873" s="306"/>
      <c r="N1873" s="306"/>
    </row>
    <row r="1874" spans="1:14" ht="10.5" customHeight="1">
      <c r="A1874" s="394"/>
      <c r="B1874" s="164"/>
      <c r="C1874" s="408"/>
      <c r="D1874" s="320"/>
      <c r="E1874" s="78">
        <f>60+10+32</f>
        <v>102</v>
      </c>
      <c r="F1874" s="123">
        <v>2</v>
      </c>
      <c r="G1874" s="337"/>
      <c r="H1874" s="337"/>
      <c r="I1874" s="329"/>
      <c r="J1874" s="329"/>
      <c r="K1874" s="329"/>
      <c r="L1874" s="329"/>
      <c r="M1874" s="329"/>
      <c r="N1874" s="329"/>
    </row>
    <row r="1875" spans="1:14" ht="10.5" customHeight="1">
      <c r="A1875" s="394"/>
      <c r="B1875" s="164"/>
      <c r="C1875" s="408"/>
      <c r="D1875" s="320"/>
      <c r="E1875" s="78">
        <v>20</v>
      </c>
      <c r="F1875" s="123" t="s">
        <v>258</v>
      </c>
      <c r="G1875" s="337"/>
      <c r="H1875" s="337"/>
      <c r="I1875" s="329"/>
      <c r="J1875" s="329"/>
      <c r="K1875" s="329"/>
      <c r="L1875" s="329"/>
      <c r="M1875" s="329"/>
      <c r="N1875" s="329"/>
    </row>
    <row r="1876" spans="1:14" ht="10.5" customHeight="1">
      <c r="A1876" s="394"/>
      <c r="B1876" s="164"/>
      <c r="C1876" s="408"/>
      <c r="D1876" s="320"/>
      <c r="E1876" s="78">
        <f>E1873+E1874</f>
        <v>752</v>
      </c>
      <c r="F1876" s="123">
        <v>5</v>
      </c>
      <c r="G1876" s="337"/>
      <c r="H1876" s="337"/>
      <c r="I1876" s="329"/>
      <c r="J1876" s="329"/>
      <c r="K1876" s="329"/>
      <c r="L1876" s="329"/>
      <c r="M1876" s="329"/>
      <c r="N1876" s="329"/>
    </row>
    <row r="1877" spans="1:14" ht="9" customHeight="1">
      <c r="A1877" s="394"/>
      <c r="B1877" s="164"/>
      <c r="C1877" s="408"/>
      <c r="D1877" s="320">
        <v>2014</v>
      </c>
      <c r="E1877" s="78">
        <f>70</f>
        <v>70</v>
      </c>
      <c r="F1877" s="123">
        <v>1</v>
      </c>
      <c r="G1877" s="337">
        <v>0.03</v>
      </c>
      <c r="H1877" s="337">
        <v>25.47</v>
      </c>
      <c r="I1877" s="329"/>
      <c r="J1877" s="329"/>
      <c r="K1877" s="329">
        <v>0.045</v>
      </c>
      <c r="L1877" s="329"/>
      <c r="M1877" s="329"/>
      <c r="N1877" s="329"/>
    </row>
    <row r="1878" spans="1:14" ht="9.75" customHeight="1">
      <c r="A1878" s="394"/>
      <c r="B1878" s="164"/>
      <c r="C1878" s="408"/>
      <c r="D1878" s="320"/>
      <c r="E1878" s="78">
        <f>10+32</f>
        <v>42</v>
      </c>
      <c r="F1878" s="123">
        <v>2</v>
      </c>
      <c r="G1878" s="337"/>
      <c r="H1878" s="337"/>
      <c r="I1878" s="329"/>
      <c r="J1878" s="329"/>
      <c r="K1878" s="329"/>
      <c r="L1878" s="329"/>
      <c r="M1878" s="329"/>
      <c r="N1878" s="329"/>
    </row>
    <row r="1879" spans="1:14" ht="10.5" customHeight="1">
      <c r="A1879" s="394"/>
      <c r="B1879" s="164"/>
      <c r="C1879" s="408"/>
      <c r="D1879" s="320"/>
      <c r="E1879" s="78">
        <v>20</v>
      </c>
      <c r="F1879" s="123" t="s">
        <v>258</v>
      </c>
      <c r="G1879" s="337"/>
      <c r="H1879" s="337"/>
      <c r="I1879" s="329"/>
      <c r="J1879" s="329"/>
      <c r="K1879" s="329"/>
      <c r="L1879" s="329"/>
      <c r="M1879" s="329"/>
      <c r="N1879" s="329"/>
    </row>
    <row r="1880" spans="1:14" ht="10.5" customHeight="1">
      <c r="A1880" s="394"/>
      <c r="B1880" s="164"/>
      <c r="C1880" s="408"/>
      <c r="D1880" s="320"/>
      <c r="E1880" s="78">
        <f>E1877+E1878</f>
        <v>112</v>
      </c>
      <c r="F1880" s="123">
        <v>5</v>
      </c>
      <c r="G1880" s="337"/>
      <c r="H1880" s="337"/>
      <c r="I1880" s="329"/>
      <c r="J1880" s="329"/>
      <c r="K1880" s="329"/>
      <c r="L1880" s="329"/>
      <c r="M1880" s="329"/>
      <c r="N1880" s="329"/>
    </row>
    <row r="1881" spans="1:14" ht="9.75" customHeight="1">
      <c r="A1881" s="394"/>
      <c r="B1881" s="164"/>
      <c r="C1881" s="408"/>
      <c r="D1881" s="320">
        <v>2015</v>
      </c>
      <c r="E1881" s="78">
        <f>60</f>
        <v>60</v>
      </c>
      <c r="F1881" s="123">
        <v>1</v>
      </c>
      <c r="G1881" s="337">
        <v>0.03</v>
      </c>
      <c r="H1881" s="337">
        <v>25.47</v>
      </c>
      <c r="I1881" s="329"/>
      <c r="J1881" s="329"/>
      <c r="K1881" s="329">
        <v>0.045</v>
      </c>
      <c r="L1881" s="329"/>
      <c r="M1881" s="329"/>
      <c r="N1881" s="329"/>
    </row>
    <row r="1882" spans="1:14" ht="10.5" customHeight="1">
      <c r="A1882" s="394"/>
      <c r="B1882" s="164"/>
      <c r="C1882" s="408"/>
      <c r="D1882" s="320"/>
      <c r="E1882" s="78">
        <f>10+32</f>
        <v>42</v>
      </c>
      <c r="F1882" s="123">
        <v>2</v>
      </c>
      <c r="G1882" s="337"/>
      <c r="H1882" s="337"/>
      <c r="I1882" s="329"/>
      <c r="J1882" s="329"/>
      <c r="K1882" s="329"/>
      <c r="L1882" s="329"/>
      <c r="M1882" s="329"/>
      <c r="N1882" s="329"/>
    </row>
    <row r="1883" spans="1:14" ht="9.75" customHeight="1">
      <c r="A1883" s="394"/>
      <c r="B1883" s="164"/>
      <c r="C1883" s="408"/>
      <c r="D1883" s="320"/>
      <c r="E1883" s="78">
        <v>20</v>
      </c>
      <c r="F1883" s="123" t="s">
        <v>258</v>
      </c>
      <c r="G1883" s="337"/>
      <c r="H1883" s="337"/>
      <c r="I1883" s="329"/>
      <c r="J1883" s="329"/>
      <c r="K1883" s="329"/>
      <c r="L1883" s="329"/>
      <c r="M1883" s="329"/>
      <c r="N1883" s="329"/>
    </row>
    <row r="1884" spans="1:14" ht="9.75" customHeight="1">
      <c r="A1884" s="413"/>
      <c r="B1884" s="160"/>
      <c r="C1884" s="409"/>
      <c r="D1884" s="320"/>
      <c r="E1884" s="78">
        <f>E1881+E1882</f>
        <v>102</v>
      </c>
      <c r="F1884" s="123">
        <v>5</v>
      </c>
      <c r="G1884" s="337"/>
      <c r="H1884" s="337"/>
      <c r="I1884" s="329"/>
      <c r="J1884" s="329"/>
      <c r="K1884" s="329"/>
      <c r="L1884" s="329"/>
      <c r="M1884" s="329"/>
      <c r="N1884" s="329"/>
    </row>
    <row r="1885" spans="1:14" ht="10.5" customHeight="1">
      <c r="A1885" s="152">
        <v>155</v>
      </c>
      <c r="B1885" s="395" t="s">
        <v>462</v>
      </c>
      <c r="C1885" s="407" t="s">
        <v>265</v>
      </c>
      <c r="D1885" s="322" t="s">
        <v>120</v>
      </c>
      <c r="E1885" s="78">
        <f>E1891+E1896+E1902+E1908+E1913</f>
        <v>11421.2</v>
      </c>
      <c r="F1885" s="123">
        <v>1</v>
      </c>
      <c r="G1885" s="337">
        <f>SUM(G1891:G1917)</f>
        <v>3.18</v>
      </c>
      <c r="H1885" s="337">
        <f>SUM(H1891:H1917)</f>
        <v>4694.2300000000005</v>
      </c>
      <c r="I1885" s="329">
        <f>SUM(I1891:I1917)</f>
        <v>1.4289999999999998</v>
      </c>
      <c r="J1885" s="329"/>
      <c r="K1885" s="329">
        <f>SUM(K1891:K1917)</f>
        <v>1.825</v>
      </c>
      <c r="L1885" s="329">
        <f>SUM(L1891:L1917)</f>
        <v>0.062</v>
      </c>
      <c r="M1885" s="329">
        <f>SUM(M1891:M1917)</f>
        <v>0.8810000000000001</v>
      </c>
      <c r="N1885" s="329"/>
    </row>
    <row r="1886" spans="1:14" ht="10.5" customHeight="1">
      <c r="A1886" s="38"/>
      <c r="B1886" s="353"/>
      <c r="C1886" s="408"/>
      <c r="D1886" s="322"/>
      <c r="E1886" s="78">
        <f>E1892+E1897+E1903+E1909+E1914</f>
        <v>25136</v>
      </c>
      <c r="F1886" s="123">
        <v>2</v>
      </c>
      <c r="G1886" s="337"/>
      <c r="H1886" s="337"/>
      <c r="I1886" s="329"/>
      <c r="J1886" s="329"/>
      <c r="K1886" s="329"/>
      <c r="L1886" s="329"/>
      <c r="M1886" s="329"/>
      <c r="N1886" s="329"/>
    </row>
    <row r="1887" spans="1:14" ht="9.75" customHeight="1">
      <c r="A1887" s="38"/>
      <c r="B1887" s="353"/>
      <c r="C1887" s="408"/>
      <c r="D1887" s="322"/>
      <c r="E1887" s="78">
        <f>E1893+E1898+E1904+E1915</f>
        <v>430</v>
      </c>
      <c r="F1887" s="123" t="s">
        <v>258</v>
      </c>
      <c r="G1887" s="337"/>
      <c r="H1887" s="337"/>
      <c r="I1887" s="329"/>
      <c r="J1887" s="329"/>
      <c r="K1887" s="329"/>
      <c r="L1887" s="329"/>
      <c r="M1887" s="329"/>
      <c r="N1887" s="329"/>
    </row>
    <row r="1888" spans="1:14" ht="10.5" customHeight="1">
      <c r="A1888" s="38"/>
      <c r="B1888" s="353"/>
      <c r="C1888" s="408"/>
      <c r="D1888" s="322"/>
      <c r="E1888" s="78">
        <f>E1899+E1905+E1910</f>
        <v>40</v>
      </c>
      <c r="F1888" s="123">
        <v>3</v>
      </c>
      <c r="G1888" s="337"/>
      <c r="H1888" s="337"/>
      <c r="I1888" s="329"/>
      <c r="J1888" s="329"/>
      <c r="K1888" s="329"/>
      <c r="L1888" s="329"/>
      <c r="M1888" s="329"/>
      <c r="N1888" s="329"/>
    </row>
    <row r="1889" spans="1:14" ht="10.5" customHeight="1">
      <c r="A1889" s="38"/>
      <c r="B1889" s="353"/>
      <c r="C1889" s="408"/>
      <c r="D1889" s="322"/>
      <c r="E1889" s="78">
        <f>E1894+E1900+E1906+E1911+E1916</f>
        <v>340</v>
      </c>
      <c r="F1889" s="123">
        <v>4</v>
      </c>
      <c r="G1889" s="337"/>
      <c r="H1889" s="337"/>
      <c r="I1889" s="329"/>
      <c r="J1889" s="329"/>
      <c r="K1889" s="329"/>
      <c r="L1889" s="329"/>
      <c r="M1889" s="329"/>
      <c r="N1889" s="329"/>
    </row>
    <row r="1890" spans="1:14" ht="10.5" customHeight="1">
      <c r="A1890" s="38"/>
      <c r="B1890" s="353"/>
      <c r="C1890" s="408"/>
      <c r="D1890" s="322"/>
      <c r="E1890" s="78">
        <f>E1885+E1886+E1889+E1888</f>
        <v>36937.2</v>
      </c>
      <c r="F1890" s="123">
        <v>5</v>
      </c>
      <c r="G1890" s="337"/>
      <c r="H1890" s="337"/>
      <c r="I1890" s="329"/>
      <c r="J1890" s="329"/>
      <c r="K1890" s="329"/>
      <c r="L1890" s="329"/>
      <c r="M1890" s="329"/>
      <c r="N1890" s="329"/>
    </row>
    <row r="1891" spans="1:14" ht="9.75" customHeight="1">
      <c r="A1891" s="38"/>
      <c r="B1891" s="164"/>
      <c r="C1891" s="408"/>
      <c r="D1891" s="322">
        <v>2011</v>
      </c>
      <c r="E1891" s="78">
        <f>1500+412+580+162+430</f>
        <v>3084</v>
      </c>
      <c r="F1891" s="123">
        <v>1</v>
      </c>
      <c r="G1891" s="337">
        <v>1.2</v>
      </c>
      <c r="H1891" s="337">
        <v>1833.55</v>
      </c>
      <c r="I1891" s="329">
        <v>0.404</v>
      </c>
      <c r="J1891" s="329"/>
      <c r="K1891" s="329">
        <v>0.817</v>
      </c>
      <c r="L1891" s="329">
        <v>0.013</v>
      </c>
      <c r="M1891" s="329">
        <v>0.795</v>
      </c>
      <c r="N1891" s="329"/>
    </row>
    <row r="1892" spans="1:14" ht="9" customHeight="1">
      <c r="A1892" s="38"/>
      <c r="B1892" s="164"/>
      <c r="C1892" s="408"/>
      <c r="D1892" s="322"/>
      <c r="E1892" s="78">
        <f>4500+800+150+150+62+170+270+140+1060+99+110+70+18+150</f>
        <v>7749</v>
      </c>
      <c r="F1892" s="123">
        <v>2</v>
      </c>
      <c r="G1892" s="337"/>
      <c r="H1892" s="337"/>
      <c r="I1892" s="329"/>
      <c r="J1892" s="329"/>
      <c r="K1892" s="329"/>
      <c r="L1892" s="329"/>
      <c r="M1892" s="329"/>
      <c r="N1892" s="329"/>
    </row>
    <row r="1893" spans="1:14" ht="9.75" customHeight="1">
      <c r="A1893" s="38"/>
      <c r="B1893" s="164"/>
      <c r="C1893" s="408"/>
      <c r="D1893" s="322"/>
      <c r="E1893" s="78">
        <v>100</v>
      </c>
      <c r="F1893" s="123" t="s">
        <v>258</v>
      </c>
      <c r="G1893" s="337"/>
      <c r="H1893" s="337"/>
      <c r="I1893" s="329"/>
      <c r="J1893" s="329"/>
      <c r="K1893" s="329"/>
      <c r="L1893" s="329"/>
      <c r="M1893" s="329"/>
      <c r="N1893" s="329"/>
    </row>
    <row r="1894" spans="1:14" ht="10.5" customHeight="1">
      <c r="A1894" s="38"/>
      <c r="B1894" s="164"/>
      <c r="C1894" s="408"/>
      <c r="D1894" s="322"/>
      <c r="E1894" s="78">
        <f>20+140</f>
        <v>160</v>
      </c>
      <c r="F1894" s="123">
        <v>4</v>
      </c>
      <c r="G1894" s="337"/>
      <c r="H1894" s="337"/>
      <c r="I1894" s="329"/>
      <c r="J1894" s="329"/>
      <c r="K1894" s="329"/>
      <c r="L1894" s="329"/>
      <c r="M1894" s="329"/>
      <c r="N1894" s="329"/>
    </row>
    <row r="1895" spans="1:14" ht="10.5" customHeight="1">
      <c r="A1895" s="38"/>
      <c r="B1895" s="164"/>
      <c r="C1895" s="408"/>
      <c r="D1895" s="322"/>
      <c r="E1895" s="78">
        <f>E1891+E1892+E1894</f>
        <v>10993</v>
      </c>
      <c r="F1895" s="123">
        <v>5</v>
      </c>
      <c r="G1895" s="337"/>
      <c r="H1895" s="337"/>
      <c r="I1895" s="329"/>
      <c r="J1895" s="329"/>
      <c r="K1895" s="329"/>
      <c r="L1895" s="329"/>
      <c r="M1895" s="329"/>
      <c r="N1895" s="329"/>
    </row>
    <row r="1896" spans="1:14" ht="10.5" customHeight="1">
      <c r="A1896" s="38"/>
      <c r="B1896" s="164"/>
      <c r="C1896" s="408"/>
      <c r="D1896" s="322">
        <v>2012</v>
      </c>
      <c r="E1896" s="78">
        <f>411.2+900+117+430</f>
        <v>1858.2</v>
      </c>
      <c r="F1896" s="123">
        <v>1</v>
      </c>
      <c r="G1896" s="337">
        <v>0.96</v>
      </c>
      <c r="H1896" s="337">
        <v>1459.54</v>
      </c>
      <c r="I1896" s="329">
        <v>0.629</v>
      </c>
      <c r="J1896" s="329"/>
      <c r="K1896" s="329">
        <v>0.294</v>
      </c>
      <c r="L1896" s="329">
        <v>0.014</v>
      </c>
      <c r="M1896" s="329">
        <v>0.04</v>
      </c>
      <c r="N1896" s="329"/>
    </row>
    <row r="1897" spans="1:14" ht="9.75" customHeight="1">
      <c r="A1897" s="38"/>
      <c r="B1897" s="164"/>
      <c r="C1897" s="408"/>
      <c r="D1897" s="322"/>
      <c r="E1897" s="78">
        <f>150+61.5+270+140+10+90+110+75+13310</f>
        <v>14216.5</v>
      </c>
      <c r="F1897" s="123">
        <v>2</v>
      </c>
      <c r="G1897" s="337"/>
      <c r="H1897" s="337"/>
      <c r="I1897" s="329"/>
      <c r="J1897" s="329"/>
      <c r="K1897" s="329"/>
      <c r="L1897" s="329"/>
      <c r="M1897" s="329"/>
      <c r="N1897" s="329"/>
    </row>
    <row r="1898" spans="1:14" ht="10.5" customHeight="1">
      <c r="A1898" s="38"/>
      <c r="B1898" s="164"/>
      <c r="C1898" s="408"/>
      <c r="D1898" s="322"/>
      <c r="E1898" s="78">
        <v>100</v>
      </c>
      <c r="F1898" s="123" t="s">
        <v>258</v>
      </c>
      <c r="G1898" s="337"/>
      <c r="H1898" s="337"/>
      <c r="I1898" s="329"/>
      <c r="J1898" s="329"/>
      <c r="K1898" s="329"/>
      <c r="L1898" s="329"/>
      <c r="M1898" s="329"/>
      <c r="N1898" s="329"/>
    </row>
    <row r="1899" spans="1:14" ht="10.5" customHeight="1">
      <c r="A1899" s="38"/>
      <c r="B1899" s="164"/>
      <c r="C1899" s="408"/>
      <c r="D1899" s="322"/>
      <c r="E1899" s="78">
        <v>12</v>
      </c>
      <c r="F1899" s="123">
        <v>3</v>
      </c>
      <c r="G1899" s="337"/>
      <c r="H1899" s="337"/>
      <c r="I1899" s="329"/>
      <c r="J1899" s="329"/>
      <c r="K1899" s="329"/>
      <c r="L1899" s="329"/>
      <c r="M1899" s="329"/>
      <c r="N1899" s="329"/>
    </row>
    <row r="1900" spans="1:14" ht="10.5" customHeight="1">
      <c r="A1900" s="38"/>
      <c r="B1900" s="164"/>
      <c r="C1900" s="408"/>
      <c r="D1900" s="322"/>
      <c r="E1900" s="78">
        <f>20+100</f>
        <v>120</v>
      </c>
      <c r="F1900" s="123">
        <v>4</v>
      </c>
      <c r="G1900" s="337"/>
      <c r="H1900" s="337"/>
      <c r="I1900" s="329"/>
      <c r="J1900" s="329"/>
      <c r="K1900" s="329"/>
      <c r="L1900" s="329"/>
      <c r="M1900" s="329"/>
      <c r="N1900" s="329"/>
    </row>
    <row r="1901" spans="1:14" ht="10.5" customHeight="1">
      <c r="A1901" s="38"/>
      <c r="B1901" s="164"/>
      <c r="C1901" s="408"/>
      <c r="D1901" s="322"/>
      <c r="E1901" s="78">
        <f>E1896+E1897+E1900+E1899</f>
        <v>16206.7</v>
      </c>
      <c r="F1901" s="123">
        <v>5</v>
      </c>
      <c r="G1901" s="337"/>
      <c r="H1901" s="337"/>
      <c r="I1901" s="329"/>
      <c r="J1901" s="329"/>
      <c r="K1901" s="329"/>
      <c r="L1901" s="329"/>
      <c r="M1901" s="329"/>
      <c r="N1901" s="329"/>
    </row>
    <row r="1902" spans="1:14" ht="10.5" customHeight="1">
      <c r="A1902" s="38"/>
      <c r="B1902" s="81"/>
      <c r="C1902" s="408"/>
      <c r="D1902" s="322">
        <v>2013</v>
      </c>
      <c r="E1902" s="78">
        <f>450+346+730+750+45+250</f>
        <v>2571</v>
      </c>
      <c r="F1902" s="123">
        <v>1</v>
      </c>
      <c r="G1902" s="337">
        <v>0.47</v>
      </c>
      <c r="H1902" s="337">
        <v>602.73</v>
      </c>
      <c r="I1902" s="329">
        <v>0.21</v>
      </c>
      <c r="J1902" s="329"/>
      <c r="K1902" s="329">
        <v>0.291</v>
      </c>
      <c r="L1902" s="329">
        <v>0.012</v>
      </c>
      <c r="M1902" s="329">
        <v>0.017</v>
      </c>
      <c r="N1902" s="329"/>
    </row>
    <row r="1903" spans="1:14" ht="10.5" customHeight="1">
      <c r="A1903" s="38"/>
      <c r="B1903" s="81"/>
      <c r="C1903" s="408"/>
      <c r="D1903" s="322"/>
      <c r="E1903" s="78">
        <f>50+150+52+140+10+70+70+120+75+877+5+200</f>
        <v>1819</v>
      </c>
      <c r="F1903" s="123">
        <v>2</v>
      </c>
      <c r="G1903" s="337"/>
      <c r="H1903" s="337"/>
      <c r="I1903" s="329"/>
      <c r="J1903" s="329"/>
      <c r="K1903" s="329"/>
      <c r="L1903" s="329"/>
      <c r="M1903" s="329"/>
      <c r="N1903" s="329"/>
    </row>
    <row r="1904" spans="1:14" ht="10.5" customHeight="1">
      <c r="A1904" s="38"/>
      <c r="B1904" s="81"/>
      <c r="C1904" s="408"/>
      <c r="D1904" s="322"/>
      <c r="E1904" s="78">
        <v>100</v>
      </c>
      <c r="F1904" s="123" t="s">
        <v>258</v>
      </c>
      <c r="G1904" s="337"/>
      <c r="H1904" s="337"/>
      <c r="I1904" s="329"/>
      <c r="J1904" s="329"/>
      <c r="K1904" s="329"/>
      <c r="L1904" s="329"/>
      <c r="M1904" s="329"/>
      <c r="N1904" s="329"/>
    </row>
    <row r="1905" spans="1:14" ht="10.5" customHeight="1">
      <c r="A1905" s="38"/>
      <c r="B1905" s="81"/>
      <c r="C1905" s="408"/>
      <c r="D1905" s="322"/>
      <c r="E1905" s="78">
        <v>17</v>
      </c>
      <c r="F1905" s="123">
        <v>3</v>
      </c>
      <c r="G1905" s="337"/>
      <c r="H1905" s="337"/>
      <c r="I1905" s="329"/>
      <c r="J1905" s="329"/>
      <c r="K1905" s="329"/>
      <c r="L1905" s="329"/>
      <c r="M1905" s="329"/>
      <c r="N1905" s="329"/>
    </row>
    <row r="1906" spans="1:14" ht="9.75" customHeight="1">
      <c r="A1906" s="38"/>
      <c r="B1906" s="81"/>
      <c r="C1906" s="408"/>
      <c r="D1906" s="322"/>
      <c r="E1906" s="78">
        <f>20</f>
        <v>20</v>
      </c>
      <c r="F1906" s="123">
        <v>4</v>
      </c>
      <c r="G1906" s="337"/>
      <c r="H1906" s="337"/>
      <c r="I1906" s="329"/>
      <c r="J1906" s="329"/>
      <c r="K1906" s="329"/>
      <c r="L1906" s="329"/>
      <c r="M1906" s="329"/>
      <c r="N1906" s="329"/>
    </row>
    <row r="1907" spans="1:14" ht="10.5" customHeight="1">
      <c r="A1907" s="40"/>
      <c r="B1907" s="162"/>
      <c r="C1907" s="409"/>
      <c r="D1907" s="322"/>
      <c r="E1907" s="78">
        <f>E1902+E1903+E1906+E1905</f>
        <v>4427</v>
      </c>
      <c r="F1907" s="123">
        <v>5</v>
      </c>
      <c r="G1907" s="337"/>
      <c r="H1907" s="337"/>
      <c r="I1907" s="329"/>
      <c r="J1907" s="329"/>
      <c r="K1907" s="329"/>
      <c r="L1907" s="329"/>
      <c r="M1907" s="329"/>
      <c r="N1907" s="329"/>
    </row>
    <row r="1908" spans="1:14" ht="10.5" customHeight="1">
      <c r="A1908" s="388"/>
      <c r="B1908" s="81"/>
      <c r="C1908" s="644"/>
      <c r="D1908" s="322">
        <v>2014</v>
      </c>
      <c r="E1908" s="78">
        <f>450+346+1100+72</f>
        <v>1968</v>
      </c>
      <c r="F1908" s="123">
        <v>1</v>
      </c>
      <c r="G1908" s="337">
        <v>0.28</v>
      </c>
      <c r="H1908" s="337">
        <v>315.29</v>
      </c>
      <c r="I1908" s="329">
        <v>0.081</v>
      </c>
      <c r="J1908" s="329"/>
      <c r="K1908" s="329">
        <v>0.239</v>
      </c>
      <c r="L1908" s="329">
        <v>0.012</v>
      </c>
      <c r="M1908" s="329">
        <v>0.017</v>
      </c>
      <c r="N1908" s="329"/>
    </row>
    <row r="1909" spans="1:14" ht="11.25" customHeight="1">
      <c r="A1909" s="394"/>
      <c r="B1909" s="81"/>
      <c r="C1909" s="408"/>
      <c r="D1909" s="322"/>
      <c r="E1909" s="78">
        <f>50+150+51.5+140+10+100+130+8+22</f>
        <v>661.5</v>
      </c>
      <c r="F1909" s="123">
        <v>2</v>
      </c>
      <c r="G1909" s="337"/>
      <c r="H1909" s="337"/>
      <c r="I1909" s="329"/>
      <c r="J1909" s="329"/>
      <c r="K1909" s="329"/>
      <c r="L1909" s="329"/>
      <c r="M1909" s="329"/>
      <c r="N1909" s="329"/>
    </row>
    <row r="1910" spans="1:14" ht="10.5" customHeight="1">
      <c r="A1910" s="394"/>
      <c r="B1910" s="81"/>
      <c r="C1910" s="408"/>
      <c r="D1910" s="322"/>
      <c r="E1910" s="78">
        <v>11</v>
      </c>
      <c r="F1910" s="123">
        <v>3</v>
      </c>
      <c r="G1910" s="337"/>
      <c r="H1910" s="337"/>
      <c r="I1910" s="329"/>
      <c r="J1910" s="329"/>
      <c r="K1910" s="329"/>
      <c r="L1910" s="329"/>
      <c r="M1910" s="329"/>
      <c r="N1910" s="329"/>
    </row>
    <row r="1911" spans="1:14" ht="9.75" customHeight="1">
      <c r="A1911" s="394"/>
      <c r="B1911" s="81"/>
      <c r="C1911" s="408"/>
      <c r="D1911" s="322"/>
      <c r="E1911" s="78">
        <f>20</f>
        <v>20</v>
      </c>
      <c r="F1911" s="123">
        <v>4</v>
      </c>
      <c r="G1911" s="337"/>
      <c r="H1911" s="337"/>
      <c r="I1911" s="329"/>
      <c r="J1911" s="329"/>
      <c r="K1911" s="329"/>
      <c r="L1911" s="329"/>
      <c r="M1911" s="329"/>
      <c r="N1911" s="329"/>
    </row>
    <row r="1912" spans="1:14" ht="10.5" customHeight="1">
      <c r="A1912" s="394"/>
      <c r="B1912" s="81"/>
      <c r="C1912" s="408"/>
      <c r="D1912" s="322"/>
      <c r="E1912" s="78">
        <f>E1908+E1909+E1911+E1910</f>
        <v>2660.5</v>
      </c>
      <c r="F1912" s="123">
        <v>5</v>
      </c>
      <c r="G1912" s="337"/>
      <c r="H1912" s="337"/>
      <c r="I1912" s="329"/>
      <c r="J1912" s="329"/>
      <c r="K1912" s="329"/>
      <c r="L1912" s="329"/>
      <c r="M1912" s="329"/>
      <c r="N1912" s="329"/>
    </row>
    <row r="1913" spans="1:14" ht="10.5" customHeight="1">
      <c r="A1913" s="394"/>
      <c r="B1913" s="81"/>
      <c r="C1913" s="408"/>
      <c r="D1913" s="322">
        <v>2015</v>
      </c>
      <c r="E1913" s="78">
        <f>450+1100+90+300</f>
        <v>1940</v>
      </c>
      <c r="F1913" s="123">
        <v>1</v>
      </c>
      <c r="G1913" s="337">
        <v>0.27</v>
      </c>
      <c r="H1913" s="337">
        <v>483.12</v>
      </c>
      <c r="I1913" s="329">
        <v>0.105</v>
      </c>
      <c r="J1913" s="329"/>
      <c r="K1913" s="329">
        <v>0.184</v>
      </c>
      <c r="L1913" s="329">
        <v>0.011</v>
      </c>
      <c r="M1913" s="329">
        <v>0.012</v>
      </c>
      <c r="N1913" s="329"/>
    </row>
    <row r="1914" spans="1:14" ht="11.25" customHeight="1">
      <c r="A1914" s="394"/>
      <c r="B1914" s="81"/>
      <c r="C1914" s="408"/>
      <c r="D1914" s="322"/>
      <c r="E1914" s="78">
        <f>50+150+140+10+100+10+230</f>
        <v>690</v>
      </c>
      <c r="F1914" s="123">
        <v>2</v>
      </c>
      <c r="G1914" s="337"/>
      <c r="H1914" s="337"/>
      <c r="I1914" s="329"/>
      <c r="J1914" s="329"/>
      <c r="K1914" s="329"/>
      <c r="L1914" s="329"/>
      <c r="M1914" s="329"/>
      <c r="N1914" s="329"/>
    </row>
    <row r="1915" spans="1:14" ht="11.25" customHeight="1">
      <c r="A1915" s="394"/>
      <c r="B1915" s="81"/>
      <c r="C1915" s="408"/>
      <c r="D1915" s="322"/>
      <c r="E1915" s="78">
        <v>130</v>
      </c>
      <c r="F1915" s="123" t="s">
        <v>258</v>
      </c>
      <c r="G1915" s="337"/>
      <c r="H1915" s="337"/>
      <c r="I1915" s="329"/>
      <c r="J1915" s="329"/>
      <c r="K1915" s="329"/>
      <c r="L1915" s="329"/>
      <c r="M1915" s="329"/>
      <c r="N1915" s="329"/>
    </row>
    <row r="1916" spans="1:14" ht="10.5" customHeight="1">
      <c r="A1916" s="394"/>
      <c r="B1916" s="81"/>
      <c r="C1916" s="408"/>
      <c r="D1916" s="322"/>
      <c r="E1916" s="78">
        <f>20</f>
        <v>20</v>
      </c>
      <c r="F1916" s="123">
        <v>4</v>
      </c>
      <c r="G1916" s="337"/>
      <c r="H1916" s="337"/>
      <c r="I1916" s="329"/>
      <c r="J1916" s="329"/>
      <c r="K1916" s="329"/>
      <c r="L1916" s="329"/>
      <c r="M1916" s="329"/>
      <c r="N1916" s="329"/>
    </row>
    <row r="1917" spans="1:14" ht="10.5" customHeight="1">
      <c r="A1917" s="394"/>
      <c r="B1917" s="81"/>
      <c r="C1917" s="408"/>
      <c r="D1917" s="322"/>
      <c r="E1917" s="78">
        <f>E1913+E1914+E1916</f>
        <v>2650</v>
      </c>
      <c r="F1917" s="123">
        <v>5</v>
      </c>
      <c r="G1917" s="337"/>
      <c r="H1917" s="337"/>
      <c r="I1917" s="329"/>
      <c r="J1917" s="329"/>
      <c r="K1917" s="329"/>
      <c r="L1917" s="329"/>
      <c r="M1917" s="329"/>
      <c r="N1917" s="329"/>
    </row>
    <row r="1918" spans="1:14" ht="10.5" customHeight="1">
      <c r="A1918" s="394"/>
      <c r="B1918" s="396" t="s">
        <v>22</v>
      </c>
      <c r="C1918" s="408"/>
      <c r="D1918" s="407" t="s">
        <v>120</v>
      </c>
      <c r="E1918" s="78">
        <f>E1921+E1924</f>
        <v>360</v>
      </c>
      <c r="F1918" s="123">
        <v>1</v>
      </c>
      <c r="G1918" s="334">
        <f>SUM(G1921:G1929)</f>
        <v>0.36305999999999994</v>
      </c>
      <c r="H1918" s="334">
        <f>SUM(H1921:H1929)</f>
        <v>527.5699999999999</v>
      </c>
      <c r="I1918" s="304">
        <f>SUM(I1922:I1929)</f>
        <v>0.09</v>
      </c>
      <c r="J1918" s="304"/>
      <c r="K1918" s="304">
        <f>SUM(K1921:K1929)</f>
        <v>0.317</v>
      </c>
      <c r="L1918" s="304"/>
      <c r="M1918" s="304">
        <f>SUM(M1922:M1929)</f>
        <v>0.258</v>
      </c>
      <c r="N1918" s="304"/>
    </row>
    <row r="1919" spans="1:14" ht="10.5" customHeight="1">
      <c r="A1919" s="394"/>
      <c r="B1919" s="647"/>
      <c r="C1919" s="408"/>
      <c r="D1919" s="338"/>
      <c r="E1919" s="78">
        <f>E1922+E1925+E1927+E1928</f>
        <v>4374</v>
      </c>
      <c r="F1919" s="123" t="s">
        <v>258</v>
      </c>
      <c r="G1919" s="335"/>
      <c r="H1919" s="335"/>
      <c r="I1919" s="335"/>
      <c r="J1919" s="305"/>
      <c r="K1919" s="335"/>
      <c r="L1919" s="305"/>
      <c r="M1919" s="335"/>
      <c r="N1919" s="305"/>
    </row>
    <row r="1920" spans="1:14" ht="9.75" customHeight="1">
      <c r="A1920" s="394"/>
      <c r="B1920" s="647"/>
      <c r="C1920" s="408"/>
      <c r="D1920" s="339"/>
      <c r="E1920" s="78">
        <f>E1918+E1919</f>
        <v>4734</v>
      </c>
      <c r="F1920" s="123">
        <v>5</v>
      </c>
      <c r="G1920" s="336"/>
      <c r="H1920" s="336"/>
      <c r="I1920" s="306"/>
      <c r="J1920" s="306"/>
      <c r="K1920" s="306"/>
      <c r="L1920" s="306"/>
      <c r="M1920" s="306"/>
      <c r="N1920" s="306"/>
    </row>
    <row r="1921" spans="1:14" ht="10.5" customHeight="1">
      <c r="A1921" s="394"/>
      <c r="B1921" s="647"/>
      <c r="C1921" s="408"/>
      <c r="D1921" s="407">
        <v>2011</v>
      </c>
      <c r="E1921" s="78">
        <v>270</v>
      </c>
      <c r="F1921" s="123">
        <v>1</v>
      </c>
      <c r="G1921" s="334">
        <f>I1922*1.16+K1921*0.75+L1922*0.351+M1922*0.145</f>
        <v>0.18375</v>
      </c>
      <c r="H1921" s="334">
        <f>I1922*2000+K1921*566+L1922*510+M1922*700</f>
        <v>138.67</v>
      </c>
      <c r="I1921" s="304"/>
      <c r="J1921" s="304"/>
      <c r="K1921" s="304">
        <f>0.179+0.066</f>
        <v>0.245</v>
      </c>
      <c r="L1921" s="304"/>
      <c r="M1921" s="304"/>
      <c r="N1921" s="304"/>
    </row>
    <row r="1922" spans="1:14" ht="11.25" customHeight="1">
      <c r="A1922" s="394"/>
      <c r="B1922" s="647"/>
      <c r="C1922" s="408"/>
      <c r="D1922" s="338"/>
      <c r="E1922" s="78">
        <f>875</f>
        <v>875</v>
      </c>
      <c r="F1922" s="123" t="s">
        <v>258</v>
      </c>
      <c r="G1922" s="335"/>
      <c r="H1922" s="335"/>
      <c r="I1922" s="305"/>
      <c r="J1922" s="305"/>
      <c r="K1922" s="335"/>
      <c r="L1922" s="305"/>
      <c r="M1922" s="305"/>
      <c r="N1922" s="305"/>
    </row>
    <row r="1923" spans="1:14" ht="11.25" customHeight="1">
      <c r="A1923" s="394"/>
      <c r="B1923" s="647"/>
      <c r="C1923" s="408"/>
      <c r="D1923" s="339"/>
      <c r="E1923" s="78">
        <f>E1921+E1922</f>
        <v>1145</v>
      </c>
      <c r="F1923" s="123">
        <v>5</v>
      </c>
      <c r="G1923" s="336"/>
      <c r="H1923" s="336"/>
      <c r="I1923" s="306"/>
      <c r="J1923" s="306"/>
      <c r="K1923" s="306"/>
      <c r="L1923" s="306"/>
      <c r="M1923" s="306"/>
      <c r="N1923" s="306"/>
    </row>
    <row r="1924" spans="1:14" ht="11.25" customHeight="1">
      <c r="A1924" s="394"/>
      <c r="B1924" s="647"/>
      <c r="C1924" s="408"/>
      <c r="D1924" s="407">
        <v>2012</v>
      </c>
      <c r="E1924" s="78">
        <v>90</v>
      </c>
      <c r="F1924" s="123">
        <v>1</v>
      </c>
      <c r="G1924" s="334">
        <f>I1924*1.16+K1925*0.75+L1925*0.351+M1924*0.145</f>
        <v>0.030159999999999996</v>
      </c>
      <c r="H1924" s="334">
        <f>I1924*2000+K1925*566+L1925*510+M1924*700</f>
        <v>52</v>
      </c>
      <c r="I1924" s="304">
        <f>0.026</f>
        <v>0.026</v>
      </c>
      <c r="J1924" s="304"/>
      <c r="K1924" s="304">
        <v>0.022</v>
      </c>
      <c r="L1924" s="304"/>
      <c r="M1924" s="304"/>
      <c r="N1924" s="304"/>
    </row>
    <row r="1925" spans="1:14" ht="10.5" customHeight="1">
      <c r="A1925" s="394"/>
      <c r="B1925" s="647"/>
      <c r="C1925" s="408"/>
      <c r="D1925" s="338"/>
      <c r="E1925" s="78">
        <f>699+750</f>
        <v>1449</v>
      </c>
      <c r="F1925" s="123" t="s">
        <v>258</v>
      </c>
      <c r="G1925" s="335"/>
      <c r="H1925" s="335"/>
      <c r="I1925" s="335"/>
      <c r="J1925" s="305"/>
      <c r="K1925" s="305"/>
      <c r="L1925" s="305"/>
      <c r="M1925" s="305"/>
      <c r="N1925" s="305"/>
    </row>
    <row r="1926" spans="1:14" ht="11.25" customHeight="1">
      <c r="A1926" s="394"/>
      <c r="B1926" s="647"/>
      <c r="C1926" s="408"/>
      <c r="D1926" s="339"/>
      <c r="E1926" s="78">
        <f>E1924+E1925</f>
        <v>1539</v>
      </c>
      <c r="F1926" s="123">
        <v>5</v>
      </c>
      <c r="G1926" s="336"/>
      <c r="H1926" s="336"/>
      <c r="I1926" s="306"/>
      <c r="J1926" s="306"/>
      <c r="K1926" s="306"/>
      <c r="L1926" s="306"/>
      <c r="M1926" s="306"/>
      <c r="N1926" s="306"/>
    </row>
    <row r="1927" spans="1:14" ht="11.25" customHeight="1">
      <c r="A1927" s="394"/>
      <c r="B1927" s="647"/>
      <c r="C1927" s="408"/>
      <c r="D1927" s="17">
        <v>2013</v>
      </c>
      <c r="E1927" s="78">
        <f>850+650</f>
        <v>1500</v>
      </c>
      <c r="F1927" s="123" t="s">
        <v>258</v>
      </c>
      <c r="G1927" s="6">
        <f>I1927*1.16+K1927*0.75+L1927*0.351+M1927*0.145</f>
        <v>0.08941</v>
      </c>
      <c r="H1927" s="6">
        <f>I1927*2000+K1927*566+L1927*510+M1927*700</f>
        <v>156.5</v>
      </c>
      <c r="I1927" s="5">
        <f>0.034</f>
        <v>0.034</v>
      </c>
      <c r="J1927" s="5"/>
      <c r="K1927" s="5">
        <f>0.05</f>
        <v>0.05</v>
      </c>
      <c r="L1927" s="5"/>
      <c r="M1927" s="5">
        <f>0.086</f>
        <v>0.086</v>
      </c>
      <c r="N1927" s="5"/>
    </row>
    <row r="1928" spans="1:14" ht="11.25" customHeight="1">
      <c r="A1928" s="394"/>
      <c r="B1928" s="647"/>
      <c r="C1928" s="408"/>
      <c r="D1928" s="17">
        <v>2014</v>
      </c>
      <c r="E1928" s="78">
        <f>550</f>
        <v>550</v>
      </c>
      <c r="F1928" s="123" t="s">
        <v>258</v>
      </c>
      <c r="G1928" s="6">
        <f>I1928*1.16+K1928*0.75+L1928*0.351+M1928*0.145</f>
        <v>0.04726999999999999</v>
      </c>
      <c r="H1928" s="6">
        <f>I1928*2000+K1928*566+L1928*510+M1928*700</f>
        <v>120.19999999999999</v>
      </c>
      <c r="I1928" s="5">
        <f>0.03</f>
        <v>0.03</v>
      </c>
      <c r="J1928" s="5"/>
      <c r="K1928" s="5"/>
      <c r="L1928" s="5"/>
      <c r="M1928" s="5">
        <f>0.086</f>
        <v>0.086</v>
      </c>
      <c r="N1928" s="5"/>
    </row>
    <row r="1929" spans="1:14" ht="10.5" customHeight="1">
      <c r="A1929" s="394"/>
      <c r="B1929" s="648"/>
      <c r="C1929" s="409"/>
      <c r="D1929" s="17">
        <v>2015</v>
      </c>
      <c r="E1929" s="78"/>
      <c r="F1929" s="123"/>
      <c r="G1929" s="6">
        <f>I1929*1.16+K1929*0.75+L1929*0.351+M1929*0.145</f>
        <v>0.012469999999999998</v>
      </c>
      <c r="H1929" s="6">
        <f>I1929*2000+K1929*566+L1929*510+M1929*700</f>
        <v>60.199999999999996</v>
      </c>
      <c r="I1929" s="5"/>
      <c r="J1929" s="5"/>
      <c r="K1929" s="5"/>
      <c r="L1929" s="5"/>
      <c r="M1929" s="5">
        <f>0.086</f>
        <v>0.086</v>
      </c>
      <c r="N1929" s="5"/>
    </row>
    <row r="1930" spans="1:14" ht="11.25" customHeight="1">
      <c r="A1930" s="401">
        <v>156</v>
      </c>
      <c r="B1930" s="670" t="s">
        <v>465</v>
      </c>
      <c r="C1930" s="407" t="s">
        <v>265</v>
      </c>
      <c r="D1930" s="322" t="s">
        <v>120</v>
      </c>
      <c r="E1930" s="588">
        <f>E1932+E1933+E1934</f>
        <v>380.9</v>
      </c>
      <c r="F1930" s="589">
        <v>2</v>
      </c>
      <c r="G1930" s="337">
        <f>SUM(G1932:G1934)</f>
        <v>0.12000000000000001</v>
      </c>
      <c r="H1930" s="337">
        <f>SUM(H1932:H1934)</f>
        <v>541.62</v>
      </c>
      <c r="I1930" s="329"/>
      <c r="J1930" s="329"/>
      <c r="K1930" s="329"/>
      <c r="L1930" s="329">
        <f>SUM(L1932:L1934)</f>
        <v>0.012</v>
      </c>
      <c r="M1930" s="329">
        <f>SUM(M1932:M1934)</f>
        <v>0.765</v>
      </c>
      <c r="N1930" s="329"/>
    </row>
    <row r="1931" spans="1:14" ht="10.5" customHeight="1">
      <c r="A1931" s="394"/>
      <c r="B1931" s="288"/>
      <c r="C1931" s="408"/>
      <c r="D1931" s="322"/>
      <c r="E1931" s="588"/>
      <c r="F1931" s="589"/>
      <c r="G1931" s="337"/>
      <c r="H1931" s="337"/>
      <c r="I1931" s="329"/>
      <c r="J1931" s="329"/>
      <c r="K1931" s="329"/>
      <c r="L1931" s="329"/>
      <c r="M1931" s="329"/>
      <c r="N1931" s="595"/>
    </row>
    <row r="1932" spans="1:14" ht="11.25" customHeight="1">
      <c r="A1932" s="394"/>
      <c r="B1932" s="288"/>
      <c r="C1932" s="408"/>
      <c r="D1932" s="17">
        <v>2011</v>
      </c>
      <c r="E1932" s="78">
        <f>5.4+15+176.5+20+54+60</f>
        <v>330.9</v>
      </c>
      <c r="F1932" s="123">
        <v>2</v>
      </c>
      <c r="G1932" s="6">
        <v>0.06</v>
      </c>
      <c r="H1932" s="6">
        <v>288.92</v>
      </c>
      <c r="I1932" s="5"/>
      <c r="J1932" s="5"/>
      <c r="K1932" s="5"/>
      <c r="L1932" s="5">
        <v>0.012</v>
      </c>
      <c r="M1932" s="5">
        <v>0.404</v>
      </c>
      <c r="N1932" s="154"/>
    </row>
    <row r="1933" spans="1:14" ht="12" customHeight="1">
      <c r="A1933" s="394"/>
      <c r="B1933" s="288"/>
      <c r="C1933" s="408"/>
      <c r="D1933" s="17">
        <v>2012</v>
      </c>
      <c r="E1933" s="78">
        <v>35</v>
      </c>
      <c r="F1933" s="123">
        <v>2</v>
      </c>
      <c r="G1933" s="6">
        <v>0.04</v>
      </c>
      <c r="H1933" s="6">
        <v>172.2</v>
      </c>
      <c r="I1933" s="5"/>
      <c r="J1933" s="5"/>
      <c r="K1933" s="5"/>
      <c r="L1933" s="5"/>
      <c r="M1933" s="5">
        <v>0.246</v>
      </c>
      <c r="N1933" s="5"/>
    </row>
    <row r="1934" spans="1:14" ht="10.5" customHeight="1">
      <c r="A1934" s="413"/>
      <c r="B1934" s="289"/>
      <c r="C1934" s="409"/>
      <c r="D1934" s="17">
        <v>2013</v>
      </c>
      <c r="E1934" s="78">
        <f>15</f>
        <v>15</v>
      </c>
      <c r="F1934" s="123">
        <v>2</v>
      </c>
      <c r="G1934" s="6">
        <v>0.02</v>
      </c>
      <c r="H1934" s="6">
        <v>80.5</v>
      </c>
      <c r="I1934" s="5"/>
      <c r="J1934" s="5"/>
      <c r="K1934" s="5"/>
      <c r="L1934" s="5"/>
      <c r="M1934" s="5">
        <v>0.115</v>
      </c>
      <c r="N1934" s="5"/>
    </row>
    <row r="1935" spans="1:14" ht="11.25" customHeight="1">
      <c r="A1935" s="645" t="s">
        <v>334</v>
      </c>
      <c r="B1935" s="296" t="s">
        <v>456</v>
      </c>
      <c r="C1935" s="348" t="s">
        <v>265</v>
      </c>
      <c r="D1935" s="407" t="s">
        <v>82</v>
      </c>
      <c r="E1935" s="78">
        <f>E1939+E1942+E1946+E1949</f>
        <v>115892.69</v>
      </c>
      <c r="F1935" s="123">
        <v>1</v>
      </c>
      <c r="G1935" s="334"/>
      <c r="H1935" s="334"/>
      <c r="I1935" s="304"/>
      <c r="J1935" s="304"/>
      <c r="K1935" s="304"/>
      <c r="L1935" s="304"/>
      <c r="M1935" s="304"/>
      <c r="N1935" s="304"/>
    </row>
    <row r="1936" spans="1:14" ht="10.5" customHeight="1">
      <c r="A1936" s="646"/>
      <c r="B1936" s="297"/>
      <c r="C1936" s="348"/>
      <c r="D1936" s="331"/>
      <c r="E1936" s="78">
        <f>E1943+E1947+E1950</f>
        <v>449.2</v>
      </c>
      <c r="F1936" s="123">
        <v>2</v>
      </c>
      <c r="G1936" s="583"/>
      <c r="H1936" s="583"/>
      <c r="I1936" s="305"/>
      <c r="J1936" s="305"/>
      <c r="K1936" s="305"/>
      <c r="L1936" s="305"/>
      <c r="M1936" s="305"/>
      <c r="N1936" s="305"/>
    </row>
    <row r="1937" spans="1:14" ht="10.5" customHeight="1">
      <c r="A1937" s="646"/>
      <c r="B1937" s="297"/>
      <c r="C1937" s="348"/>
      <c r="D1937" s="331"/>
      <c r="E1937" s="78">
        <f>E1940+E1944</f>
        <v>87970.78</v>
      </c>
      <c r="F1937" s="123">
        <v>4</v>
      </c>
      <c r="G1937" s="583"/>
      <c r="H1937" s="583"/>
      <c r="I1937" s="305"/>
      <c r="J1937" s="305"/>
      <c r="K1937" s="305"/>
      <c r="L1937" s="305"/>
      <c r="M1937" s="305"/>
      <c r="N1937" s="305"/>
    </row>
    <row r="1938" spans="1:14" ht="10.5" customHeight="1">
      <c r="A1938" s="171"/>
      <c r="B1938" s="297"/>
      <c r="C1938" s="348"/>
      <c r="D1938" s="339"/>
      <c r="E1938" s="78">
        <f>E1935+E1936+E1937</f>
        <v>204312.66999999998</v>
      </c>
      <c r="F1938" s="123">
        <v>5</v>
      </c>
      <c r="G1938" s="336"/>
      <c r="H1938" s="336"/>
      <c r="I1938" s="306"/>
      <c r="J1938" s="306"/>
      <c r="K1938" s="306"/>
      <c r="L1938" s="306"/>
      <c r="M1938" s="306"/>
      <c r="N1938" s="306"/>
    </row>
    <row r="1939" spans="1:14" ht="10.5" customHeight="1">
      <c r="A1939" s="171"/>
      <c r="B1939" s="297"/>
      <c r="C1939" s="348"/>
      <c r="D1939" s="407">
        <v>2012</v>
      </c>
      <c r="E1939" s="78">
        <v>12533.1</v>
      </c>
      <c r="F1939" s="123">
        <v>1</v>
      </c>
      <c r="G1939" s="334">
        <v>0.08</v>
      </c>
      <c r="H1939" s="334">
        <v>459.8</v>
      </c>
      <c r="I1939" s="304"/>
      <c r="J1939" s="304"/>
      <c r="K1939" s="304"/>
      <c r="L1939" s="304"/>
      <c r="M1939" s="304">
        <v>0.418</v>
      </c>
      <c r="N1939" s="304"/>
    </row>
    <row r="1940" spans="1:14" ht="10.5" customHeight="1">
      <c r="A1940" s="171"/>
      <c r="B1940" s="297"/>
      <c r="C1940" s="348"/>
      <c r="D1940" s="408"/>
      <c r="E1940" s="78">
        <v>66966.98</v>
      </c>
      <c r="F1940" s="123">
        <v>4</v>
      </c>
      <c r="G1940" s="583"/>
      <c r="H1940" s="583"/>
      <c r="I1940" s="305"/>
      <c r="J1940" s="305"/>
      <c r="K1940" s="305"/>
      <c r="L1940" s="305"/>
      <c r="M1940" s="305"/>
      <c r="N1940" s="305"/>
    </row>
    <row r="1941" spans="1:14" ht="10.5" customHeight="1">
      <c r="A1941" s="171"/>
      <c r="B1941" s="297"/>
      <c r="C1941" s="348"/>
      <c r="D1941" s="409"/>
      <c r="E1941" s="78">
        <f>E1939+E1940</f>
        <v>79500.08</v>
      </c>
      <c r="F1941" s="123">
        <v>5</v>
      </c>
      <c r="G1941" s="336"/>
      <c r="H1941" s="336"/>
      <c r="I1941" s="306"/>
      <c r="J1941" s="306"/>
      <c r="K1941" s="306"/>
      <c r="L1941" s="306"/>
      <c r="M1941" s="306"/>
      <c r="N1941" s="306"/>
    </row>
    <row r="1942" spans="1:14" ht="10.5" customHeight="1">
      <c r="A1942" s="171"/>
      <c r="B1942" s="297"/>
      <c r="C1942" s="348"/>
      <c r="D1942" s="407">
        <v>2013</v>
      </c>
      <c r="E1942" s="78">
        <v>86989.59</v>
      </c>
      <c r="F1942" s="123">
        <v>1</v>
      </c>
      <c r="G1942" s="334">
        <v>1.04</v>
      </c>
      <c r="H1942" s="334">
        <v>3659.89</v>
      </c>
      <c r="I1942" s="304"/>
      <c r="J1942" s="304"/>
      <c r="K1942" s="304"/>
      <c r="L1942" s="304"/>
      <c r="M1942" s="304">
        <v>6.048</v>
      </c>
      <c r="N1942" s="304"/>
    </row>
    <row r="1943" spans="1:14" ht="9.75" customHeight="1">
      <c r="A1943" s="171"/>
      <c r="B1943" s="297"/>
      <c r="C1943" s="348"/>
      <c r="D1943" s="331"/>
      <c r="E1943" s="78">
        <v>204.2</v>
      </c>
      <c r="F1943" s="123">
        <v>2</v>
      </c>
      <c r="G1943" s="583"/>
      <c r="H1943" s="583"/>
      <c r="I1943" s="305"/>
      <c r="J1943" s="305"/>
      <c r="K1943" s="305"/>
      <c r="L1943" s="305"/>
      <c r="M1943" s="305"/>
      <c r="N1943" s="305"/>
    </row>
    <row r="1944" spans="1:14" ht="10.5" customHeight="1">
      <c r="A1944" s="171"/>
      <c r="B1944" s="297"/>
      <c r="C1944" s="348"/>
      <c r="D1944" s="331"/>
      <c r="E1944" s="78">
        <v>21003.8</v>
      </c>
      <c r="F1944" s="123">
        <v>4</v>
      </c>
      <c r="G1944" s="583"/>
      <c r="H1944" s="583"/>
      <c r="I1944" s="305"/>
      <c r="J1944" s="305"/>
      <c r="K1944" s="305"/>
      <c r="L1944" s="305"/>
      <c r="M1944" s="305"/>
      <c r="N1944" s="305"/>
    </row>
    <row r="1945" spans="1:14" ht="10.5" customHeight="1">
      <c r="A1945" s="171"/>
      <c r="B1945" s="297"/>
      <c r="C1945" s="348"/>
      <c r="D1945" s="339"/>
      <c r="E1945" s="78">
        <f>E1942+E1943+E1944</f>
        <v>108197.59</v>
      </c>
      <c r="F1945" s="123">
        <v>5</v>
      </c>
      <c r="G1945" s="336"/>
      <c r="H1945" s="336"/>
      <c r="I1945" s="306"/>
      <c r="J1945" s="306"/>
      <c r="K1945" s="306"/>
      <c r="L1945" s="306"/>
      <c r="M1945" s="306"/>
      <c r="N1945" s="306"/>
    </row>
    <row r="1946" spans="1:14" ht="10.5" customHeight="1">
      <c r="A1946" s="171"/>
      <c r="B1946" s="297"/>
      <c r="C1946" s="348"/>
      <c r="D1946" s="407">
        <v>2014</v>
      </c>
      <c r="E1946" s="78">
        <v>4300</v>
      </c>
      <c r="F1946" s="123">
        <v>1</v>
      </c>
      <c r="G1946" s="334">
        <v>0.02</v>
      </c>
      <c r="H1946" s="334">
        <v>81</v>
      </c>
      <c r="I1946" s="304"/>
      <c r="J1946" s="304"/>
      <c r="K1946" s="304"/>
      <c r="L1946" s="304"/>
      <c r="M1946" s="304">
        <v>0.09</v>
      </c>
      <c r="N1946" s="304"/>
    </row>
    <row r="1947" spans="1:14" ht="10.5" customHeight="1">
      <c r="A1947" s="171"/>
      <c r="B1947" s="297"/>
      <c r="C1947" s="348"/>
      <c r="D1947" s="331"/>
      <c r="E1947" s="78">
        <v>45</v>
      </c>
      <c r="F1947" s="123">
        <v>2</v>
      </c>
      <c r="G1947" s="583"/>
      <c r="H1947" s="583"/>
      <c r="I1947" s="305"/>
      <c r="J1947" s="305"/>
      <c r="K1947" s="305"/>
      <c r="L1947" s="305"/>
      <c r="M1947" s="305"/>
      <c r="N1947" s="305"/>
    </row>
    <row r="1948" spans="1:14" ht="10.5" customHeight="1">
      <c r="A1948" s="171"/>
      <c r="B1948" s="297"/>
      <c r="C1948" s="348"/>
      <c r="D1948" s="409"/>
      <c r="E1948" s="78">
        <f>E1946+E1947</f>
        <v>4345</v>
      </c>
      <c r="F1948" s="123">
        <v>5</v>
      </c>
      <c r="G1948" s="336"/>
      <c r="H1948" s="336"/>
      <c r="I1948" s="306"/>
      <c r="J1948" s="306"/>
      <c r="K1948" s="306"/>
      <c r="L1948" s="306"/>
      <c r="M1948" s="306"/>
      <c r="N1948" s="306"/>
    </row>
    <row r="1949" spans="1:14" ht="10.5" customHeight="1">
      <c r="A1949" s="171"/>
      <c r="B1949" s="297"/>
      <c r="C1949" s="348"/>
      <c r="D1949" s="407">
        <v>2015</v>
      </c>
      <c r="E1949" s="78">
        <v>12070</v>
      </c>
      <c r="F1949" s="123">
        <v>1</v>
      </c>
      <c r="G1949" s="334">
        <v>0.12</v>
      </c>
      <c r="H1949" s="334">
        <v>643.5</v>
      </c>
      <c r="I1949" s="304"/>
      <c r="J1949" s="304"/>
      <c r="K1949" s="304"/>
      <c r="L1949" s="304"/>
      <c r="M1949" s="304">
        <v>0.715</v>
      </c>
      <c r="N1949" s="304"/>
    </row>
    <row r="1950" spans="1:14" ht="10.5" customHeight="1">
      <c r="A1950" s="171"/>
      <c r="B1950" s="297"/>
      <c r="C1950" s="348"/>
      <c r="D1950" s="331"/>
      <c r="E1950" s="78">
        <v>200</v>
      </c>
      <c r="F1950" s="123">
        <v>2</v>
      </c>
      <c r="G1950" s="583"/>
      <c r="H1950" s="583"/>
      <c r="I1950" s="305"/>
      <c r="J1950" s="305"/>
      <c r="K1950" s="305"/>
      <c r="L1950" s="305"/>
      <c r="M1950" s="305"/>
      <c r="N1950" s="305"/>
    </row>
    <row r="1951" spans="1:14" ht="10.5" customHeight="1">
      <c r="A1951" s="171"/>
      <c r="B1951" s="298"/>
      <c r="C1951" s="349"/>
      <c r="D1951" s="409"/>
      <c r="E1951" s="78">
        <f>E1949+E1950</f>
        <v>12270</v>
      </c>
      <c r="F1951" s="123">
        <v>5</v>
      </c>
      <c r="G1951" s="336"/>
      <c r="H1951" s="336"/>
      <c r="I1951" s="306"/>
      <c r="J1951" s="306"/>
      <c r="K1951" s="306"/>
      <c r="L1951" s="306"/>
      <c r="M1951" s="306"/>
      <c r="N1951" s="306"/>
    </row>
    <row r="1952" spans="1:14" ht="10.5" customHeight="1">
      <c r="A1952" s="152"/>
      <c r="B1952" s="77" t="s">
        <v>279</v>
      </c>
      <c r="C1952" s="18" t="s">
        <v>270</v>
      </c>
      <c r="D1952" s="400" t="s">
        <v>158</v>
      </c>
      <c r="E1952" s="116">
        <f>SUM(E1958+E1964+E1970+E1976+E1982)</f>
        <v>181157.626</v>
      </c>
      <c r="F1952" s="133">
        <v>1</v>
      </c>
      <c r="G1952" s="459">
        <f>SUM(G1958+G1964+G1970+G1976+G1982)</f>
        <v>20.22</v>
      </c>
      <c r="H1952" s="459">
        <f>SUM(H1958+H1964+H1970+H1976+H1982)</f>
        <v>49520.10999999999</v>
      </c>
      <c r="I1952" s="442">
        <f>SUM(I1958+I1964+I1970+I1976+I1982)</f>
        <v>2.2520000000000002</v>
      </c>
      <c r="J1952" s="442"/>
      <c r="K1952" s="442">
        <f>SUM(K1958+K1964+K1970+K1976+K1982)</f>
        <v>5.9959999999999996</v>
      </c>
      <c r="L1952" s="442">
        <f>SUM(L1958+L1964+L1970+L1976+L1982)</f>
        <v>11.661000000000001</v>
      </c>
      <c r="M1952" s="442">
        <f>SUM(M1958+M1964+M1970+M1976+M1982)</f>
        <v>55.048</v>
      </c>
      <c r="N1952" s="442">
        <f>SUM(N1958+N1964+N1970+N1976+N1982)</f>
        <v>0.63</v>
      </c>
    </row>
    <row r="1953" spans="1:14" ht="11.25" customHeight="1">
      <c r="A1953" s="171"/>
      <c r="B1953" s="61"/>
      <c r="C1953" s="74"/>
      <c r="D1953" s="400"/>
      <c r="E1953" s="116">
        <f>SUM(E1959+E1965+E1971+E1977+E1983)</f>
        <v>95140.85999999999</v>
      </c>
      <c r="F1953" s="133">
        <v>2</v>
      </c>
      <c r="G1953" s="459"/>
      <c r="H1953" s="459"/>
      <c r="I1953" s="442"/>
      <c r="J1953" s="442"/>
      <c r="K1953" s="442"/>
      <c r="L1953" s="442"/>
      <c r="M1953" s="442"/>
      <c r="N1953" s="442"/>
    </row>
    <row r="1954" spans="1:14" ht="11.25" customHeight="1">
      <c r="A1954" s="171"/>
      <c r="B1954" s="61"/>
      <c r="C1954" s="74"/>
      <c r="D1954" s="400"/>
      <c r="E1954" s="116">
        <f>SUM(E1960+E1966+E1972+E1978+E1984)</f>
        <v>4096.25</v>
      </c>
      <c r="F1954" s="133" t="s">
        <v>258</v>
      </c>
      <c r="G1954" s="459"/>
      <c r="H1954" s="459"/>
      <c r="I1954" s="442"/>
      <c r="J1954" s="442"/>
      <c r="K1954" s="442"/>
      <c r="L1954" s="442"/>
      <c r="M1954" s="442"/>
      <c r="N1954" s="442"/>
    </row>
    <row r="1955" spans="1:14" ht="10.5" customHeight="1">
      <c r="A1955" s="171"/>
      <c r="B1955" s="61"/>
      <c r="C1955" s="74"/>
      <c r="D1955" s="400"/>
      <c r="E1955" s="116">
        <f>SUM(E1961+E1967+E1973+E1979+E1985)</f>
        <v>808.0000000000001</v>
      </c>
      <c r="F1955" s="133">
        <v>3</v>
      </c>
      <c r="G1955" s="459"/>
      <c r="H1955" s="459"/>
      <c r="I1955" s="442"/>
      <c r="J1955" s="442"/>
      <c r="K1955" s="442"/>
      <c r="L1955" s="442"/>
      <c r="M1955" s="442"/>
      <c r="N1955" s="442"/>
    </row>
    <row r="1956" spans="1:14" ht="10.5" customHeight="1">
      <c r="A1956" s="171"/>
      <c r="B1956" s="61"/>
      <c r="C1956" s="74"/>
      <c r="D1956" s="400"/>
      <c r="E1956" s="116">
        <f>SUM(E1962+E1968+E1974+E1980+E1986)</f>
        <v>171055.08</v>
      </c>
      <c r="F1956" s="133">
        <v>4</v>
      </c>
      <c r="G1956" s="459"/>
      <c r="H1956" s="459"/>
      <c r="I1956" s="442"/>
      <c r="J1956" s="442"/>
      <c r="K1956" s="442"/>
      <c r="L1956" s="442"/>
      <c r="M1956" s="442"/>
      <c r="N1956" s="442"/>
    </row>
    <row r="1957" spans="1:14" ht="10.5" customHeight="1">
      <c r="A1957" s="171"/>
      <c r="B1957" s="61"/>
      <c r="C1957" s="74"/>
      <c r="D1957" s="400"/>
      <c r="E1957" s="116">
        <f>E1952+E1953+E1955+E1956</f>
        <v>448161.566</v>
      </c>
      <c r="F1957" s="133">
        <v>5</v>
      </c>
      <c r="G1957" s="459"/>
      <c r="H1957" s="459"/>
      <c r="I1957" s="442"/>
      <c r="J1957" s="442"/>
      <c r="K1957" s="442"/>
      <c r="L1957" s="442"/>
      <c r="M1957" s="442"/>
      <c r="N1957" s="442"/>
    </row>
    <row r="1958" spans="1:14" ht="11.25" customHeight="1">
      <c r="A1958" s="171"/>
      <c r="B1958" s="61"/>
      <c r="C1958" s="74"/>
      <c r="D1958" s="322">
        <v>2011</v>
      </c>
      <c r="E1958" s="78">
        <f>E1653+E1708+E1755+E1805+E1837+E1859+E1891</f>
        <v>16932.33</v>
      </c>
      <c r="F1958" s="123">
        <v>1</v>
      </c>
      <c r="G1958" s="337">
        <f>G1653+G1708+G1755+G1805+G1837+G1859+G1891+G1932</f>
        <v>5.199999999999999</v>
      </c>
      <c r="H1958" s="337">
        <f>H1653+H1708+H1755+H1805+H1837+H1859+H1891+H1932</f>
        <v>7732.99</v>
      </c>
      <c r="I1958" s="329">
        <f>I1653+I1708+I1755+I1805+I1837+I1859+I1891+I1932</f>
        <v>0.632</v>
      </c>
      <c r="J1958" s="329"/>
      <c r="K1958" s="329">
        <f>K1653+K1708+K1755+K1805+K1837+K1859+K1891+K1932</f>
        <v>2.447</v>
      </c>
      <c r="L1958" s="329">
        <f>L1653+L1708+L1755+L1805+L1837+L1859+L1891+L1932</f>
        <v>3.2550000000000003</v>
      </c>
      <c r="M1958" s="329">
        <f>M1653+M1708+M1755+M1805+M1837+M1859+M1891+M1932</f>
        <v>8.953</v>
      </c>
      <c r="N1958" s="329">
        <f>N1653+N1708+N1755+N1805+N1837+N1859+N1891+N1932</f>
        <v>0.2</v>
      </c>
    </row>
    <row r="1959" spans="1:14" ht="10.5" customHeight="1">
      <c r="A1959" s="171"/>
      <c r="B1959" s="61"/>
      <c r="C1959" s="74"/>
      <c r="D1959" s="322"/>
      <c r="E1959" s="78">
        <f>E1654+E1709+E1756+E1806+E1838+E1860+E1892+E1932</f>
        <v>25402.8</v>
      </c>
      <c r="F1959" s="123">
        <v>2</v>
      </c>
      <c r="G1959" s="337"/>
      <c r="H1959" s="337"/>
      <c r="I1959" s="329"/>
      <c r="J1959" s="329"/>
      <c r="K1959" s="329"/>
      <c r="L1959" s="329"/>
      <c r="M1959" s="329"/>
      <c r="N1959" s="329"/>
    </row>
    <row r="1960" spans="1:14" ht="11.25" customHeight="1">
      <c r="A1960" s="171"/>
      <c r="B1960" s="61"/>
      <c r="C1960" s="74"/>
      <c r="D1960" s="322"/>
      <c r="E1960" s="78">
        <f>E1655+E1757+E1861+E1893</f>
        <v>672.05</v>
      </c>
      <c r="F1960" s="123" t="s">
        <v>258</v>
      </c>
      <c r="G1960" s="337"/>
      <c r="H1960" s="337"/>
      <c r="I1960" s="329"/>
      <c r="J1960" s="329"/>
      <c r="K1960" s="329"/>
      <c r="L1960" s="329"/>
      <c r="M1960" s="329"/>
      <c r="N1960" s="329"/>
    </row>
    <row r="1961" spans="1:14" ht="10.5" customHeight="1">
      <c r="A1961" s="171"/>
      <c r="B1961" s="61"/>
      <c r="C1961" s="74"/>
      <c r="D1961" s="322"/>
      <c r="E1961" s="78">
        <f>E1656+E1710+E1758+E1839</f>
        <v>182.36</v>
      </c>
      <c r="F1961" s="123">
        <v>3</v>
      </c>
      <c r="G1961" s="337"/>
      <c r="H1961" s="337"/>
      <c r="I1961" s="329"/>
      <c r="J1961" s="329"/>
      <c r="K1961" s="329"/>
      <c r="L1961" s="329"/>
      <c r="M1961" s="329"/>
      <c r="N1961" s="329"/>
    </row>
    <row r="1962" spans="1:14" ht="9.75" customHeight="1">
      <c r="A1962" s="171"/>
      <c r="B1962" s="61"/>
      <c r="C1962" s="74"/>
      <c r="D1962" s="322"/>
      <c r="E1962" s="78">
        <f>E1657+E1711+E1759+E1894</f>
        <v>70437.16</v>
      </c>
      <c r="F1962" s="123">
        <v>4</v>
      </c>
      <c r="G1962" s="337"/>
      <c r="H1962" s="337"/>
      <c r="I1962" s="329"/>
      <c r="J1962" s="329"/>
      <c r="K1962" s="329"/>
      <c r="L1962" s="329"/>
      <c r="M1962" s="329"/>
      <c r="N1962" s="329"/>
    </row>
    <row r="1963" spans="1:14" ht="9.75" customHeight="1">
      <c r="A1963" s="172"/>
      <c r="B1963" s="62"/>
      <c r="C1963" s="75"/>
      <c r="D1963" s="322"/>
      <c r="E1963" s="78">
        <f>E1958+E1959+E1961+E1962</f>
        <v>112954.65000000001</v>
      </c>
      <c r="F1963" s="123">
        <v>5</v>
      </c>
      <c r="G1963" s="337"/>
      <c r="H1963" s="337"/>
      <c r="I1963" s="329"/>
      <c r="J1963" s="329"/>
      <c r="K1963" s="329"/>
      <c r="L1963" s="329"/>
      <c r="M1963" s="329"/>
      <c r="N1963" s="329"/>
    </row>
    <row r="1964" spans="1:14" ht="10.5" customHeight="1">
      <c r="A1964" s="152"/>
      <c r="B1964" s="228"/>
      <c r="C1964" s="122"/>
      <c r="D1964" s="320">
        <v>2012</v>
      </c>
      <c r="E1964" s="78">
        <f>E1659+E1713+E1761+E1808+E1841+E1863+E1896+E1939</f>
        <v>29128.735999999997</v>
      </c>
      <c r="F1964" s="123">
        <v>1</v>
      </c>
      <c r="G1964" s="337">
        <f>G1659+G1713+G1761+G1841+G1863+G1896+G1933+G1939</f>
        <v>4.57</v>
      </c>
      <c r="H1964" s="337">
        <f>H1659+H1713+H1761+H1841+H1863+H1896+H1933+H1939</f>
        <v>9167.970000000001</v>
      </c>
      <c r="I1964" s="329">
        <f>I1659+I1841+I1863+I1896</f>
        <v>0.918</v>
      </c>
      <c r="J1964" s="329"/>
      <c r="K1964" s="329">
        <f>K1659+K1761+K1863+K1896</f>
        <v>1.5050000000000001</v>
      </c>
      <c r="L1964" s="329">
        <f>L1659+L1713+L1761+L1841+L1896</f>
        <v>2.27</v>
      </c>
      <c r="M1964" s="329">
        <f>M1659+M1713+M1761+M1841+M1863+M1896+M1933+M1939</f>
        <v>10.321999999999997</v>
      </c>
      <c r="N1964" s="329">
        <f>N1659</f>
        <v>0.159</v>
      </c>
    </row>
    <row r="1965" spans="1:14" ht="10.5" customHeight="1">
      <c r="A1965" s="171"/>
      <c r="B1965" s="229"/>
      <c r="C1965" s="74"/>
      <c r="D1965" s="320"/>
      <c r="E1965" s="78">
        <f>E1660+E1714+E1762+E1809+E1842+E1864+E1897+E1933</f>
        <v>27528.86</v>
      </c>
      <c r="F1965" s="123">
        <v>2</v>
      </c>
      <c r="G1965" s="337"/>
      <c r="H1965" s="337"/>
      <c r="I1965" s="329"/>
      <c r="J1965" s="329"/>
      <c r="K1965" s="329"/>
      <c r="L1965" s="329"/>
      <c r="M1965" s="329"/>
      <c r="N1965" s="329"/>
    </row>
    <row r="1966" spans="1:14" ht="10.5" customHeight="1">
      <c r="A1966" s="171"/>
      <c r="B1966" s="229"/>
      <c r="C1966" s="74"/>
      <c r="D1966" s="320"/>
      <c r="E1966" s="78">
        <f>E1661+E1763+E1865+E1898</f>
        <v>732.05</v>
      </c>
      <c r="F1966" s="123" t="s">
        <v>258</v>
      </c>
      <c r="G1966" s="337"/>
      <c r="H1966" s="337"/>
      <c r="I1966" s="329"/>
      <c r="J1966" s="329"/>
      <c r="K1966" s="329"/>
      <c r="L1966" s="329"/>
      <c r="M1966" s="329"/>
      <c r="N1966" s="329"/>
    </row>
    <row r="1967" spans="1:14" ht="9.75" customHeight="1">
      <c r="A1967" s="171"/>
      <c r="B1967" s="229"/>
      <c r="C1967" s="74"/>
      <c r="D1967" s="320"/>
      <c r="E1967" s="78">
        <f>E1715+E1764+E1899</f>
        <v>166.66000000000003</v>
      </c>
      <c r="F1967" s="123">
        <v>3</v>
      </c>
      <c r="G1967" s="337"/>
      <c r="H1967" s="337"/>
      <c r="I1967" s="329"/>
      <c r="J1967" s="329"/>
      <c r="K1967" s="329"/>
      <c r="L1967" s="329"/>
      <c r="M1967" s="329"/>
      <c r="N1967" s="329"/>
    </row>
    <row r="1968" spans="1:14" ht="10.5" customHeight="1">
      <c r="A1968" s="171"/>
      <c r="B1968" s="229"/>
      <c r="C1968" s="74"/>
      <c r="D1968" s="320"/>
      <c r="E1968" s="78">
        <f>E1662+E1716+E1765+E1900+E1940</f>
        <v>69994.59</v>
      </c>
      <c r="F1968" s="123">
        <v>4</v>
      </c>
      <c r="G1968" s="337"/>
      <c r="H1968" s="337"/>
      <c r="I1968" s="329"/>
      <c r="J1968" s="329"/>
      <c r="K1968" s="329"/>
      <c r="L1968" s="329"/>
      <c r="M1968" s="329"/>
      <c r="N1968" s="329"/>
    </row>
    <row r="1969" spans="1:14" ht="9.75" customHeight="1">
      <c r="A1969" s="171"/>
      <c r="B1969" s="229"/>
      <c r="C1969" s="74"/>
      <c r="D1969" s="320"/>
      <c r="E1969" s="78">
        <f>E1964+E1965+E1967+E1968</f>
        <v>126818.84599999999</v>
      </c>
      <c r="F1969" s="123">
        <v>5</v>
      </c>
      <c r="G1969" s="337"/>
      <c r="H1969" s="337"/>
      <c r="I1969" s="329"/>
      <c r="J1969" s="329"/>
      <c r="K1969" s="329"/>
      <c r="L1969" s="329"/>
      <c r="M1969" s="329"/>
      <c r="N1969" s="329"/>
    </row>
    <row r="1970" spans="1:14" ht="10.5" customHeight="1">
      <c r="A1970" s="171"/>
      <c r="B1970" s="229"/>
      <c r="C1970" s="74"/>
      <c r="D1970" s="320">
        <v>2013</v>
      </c>
      <c r="E1970" s="78">
        <f>E1664+E1718+E1767+E1811+E1844+E1873+E1902+E1942</f>
        <v>98642.93</v>
      </c>
      <c r="F1970" s="123">
        <v>1</v>
      </c>
      <c r="G1970" s="337">
        <f>G1664+G1718+G1767+G1844+G1873+G1902+G1934+G1942</f>
        <v>4.4</v>
      </c>
      <c r="H1970" s="337">
        <f>H1664+H1718+H1767+H1844+H1873+H1902+H1934+H1942</f>
        <v>13698.589999999998</v>
      </c>
      <c r="I1970" s="329">
        <f>I1664+I1718+I1767+I1844+I1873+I1902+I1934</f>
        <v>0.275</v>
      </c>
      <c r="J1970" s="329"/>
      <c r="K1970" s="329">
        <f>K1664+K1718+K1767+K1844+K1873+K1902+K1934</f>
        <v>0.9179999999999999</v>
      </c>
      <c r="L1970" s="329">
        <f>L1664+L1718+L1767+L1844+L1873+L1902+L1934</f>
        <v>2.044</v>
      </c>
      <c r="M1970" s="329">
        <f>M1664+M1718+M1767+M1844+M1873+M1902+M1934+M1942</f>
        <v>16.116999999999997</v>
      </c>
      <c r="N1970" s="329">
        <f>N1664+N1718+N1767+N1844+N1873+N1902+N1934</f>
        <v>0.106</v>
      </c>
    </row>
    <row r="1971" spans="1:14" ht="11.25" customHeight="1">
      <c r="A1971" s="171"/>
      <c r="B1971" s="229"/>
      <c r="C1971" s="74"/>
      <c r="D1971" s="320"/>
      <c r="E1971" s="78">
        <f>E1665+E1719+E1768+E1812+E1845+E1874+E1903+E1934+E1943</f>
        <v>15071.95</v>
      </c>
      <c r="F1971" s="123">
        <v>2</v>
      </c>
      <c r="G1971" s="337"/>
      <c r="H1971" s="337"/>
      <c r="I1971" s="329"/>
      <c r="J1971" s="329"/>
      <c r="K1971" s="329"/>
      <c r="L1971" s="329"/>
      <c r="M1971" s="329"/>
      <c r="N1971" s="329"/>
    </row>
    <row r="1972" spans="1:14" ht="9.75" customHeight="1">
      <c r="A1972" s="171"/>
      <c r="B1972" s="229"/>
      <c r="C1972" s="74"/>
      <c r="D1972" s="320"/>
      <c r="E1972" s="78">
        <f>E1666+E1769+E1875+E1904</f>
        <v>844.05</v>
      </c>
      <c r="F1972" s="123" t="s">
        <v>258</v>
      </c>
      <c r="G1972" s="337"/>
      <c r="H1972" s="337"/>
      <c r="I1972" s="329"/>
      <c r="J1972" s="329"/>
      <c r="K1972" s="329"/>
      <c r="L1972" s="329"/>
      <c r="M1972" s="329"/>
      <c r="N1972" s="329"/>
    </row>
    <row r="1973" spans="1:14" ht="9.75" customHeight="1">
      <c r="A1973" s="171"/>
      <c r="B1973" s="229"/>
      <c r="C1973" s="74"/>
      <c r="D1973" s="320"/>
      <c r="E1973" s="78">
        <f>E1720+E1905</f>
        <v>152.66000000000003</v>
      </c>
      <c r="F1973" s="123">
        <v>3</v>
      </c>
      <c r="G1973" s="337"/>
      <c r="H1973" s="337"/>
      <c r="I1973" s="329"/>
      <c r="J1973" s="329"/>
      <c r="K1973" s="329"/>
      <c r="L1973" s="329"/>
      <c r="M1973" s="329"/>
      <c r="N1973" s="329"/>
    </row>
    <row r="1974" spans="1:14" ht="10.5" customHeight="1">
      <c r="A1974" s="171"/>
      <c r="B1974" s="229"/>
      <c r="C1974" s="74"/>
      <c r="D1974" s="320"/>
      <c r="E1974" s="78">
        <f>E1667+E1721+E1770+E1846+E1906+E1944</f>
        <v>24116.21</v>
      </c>
      <c r="F1974" s="123">
        <v>4</v>
      </c>
      <c r="G1974" s="337"/>
      <c r="H1974" s="337"/>
      <c r="I1974" s="329"/>
      <c r="J1974" s="329"/>
      <c r="K1974" s="329"/>
      <c r="L1974" s="329"/>
      <c r="M1974" s="329"/>
      <c r="N1974" s="329"/>
    </row>
    <row r="1975" spans="1:14" ht="10.5" customHeight="1">
      <c r="A1975" s="171"/>
      <c r="B1975" s="229"/>
      <c r="C1975" s="74"/>
      <c r="D1975" s="320"/>
      <c r="E1975" s="78">
        <f>E1970+E1971+E1973+E1974</f>
        <v>137983.75</v>
      </c>
      <c r="F1975" s="123">
        <v>5</v>
      </c>
      <c r="G1975" s="337"/>
      <c r="H1975" s="337"/>
      <c r="I1975" s="329"/>
      <c r="J1975" s="329"/>
      <c r="K1975" s="329"/>
      <c r="L1975" s="329"/>
      <c r="M1975" s="329"/>
      <c r="N1975" s="329"/>
    </row>
    <row r="1976" spans="1:14" ht="11.25" customHeight="1">
      <c r="A1976" s="171"/>
      <c r="B1976" s="229"/>
      <c r="C1976" s="81"/>
      <c r="D1976" s="320">
        <v>2014</v>
      </c>
      <c r="E1976" s="78">
        <f>E1669+E1723+E1772+E1814+E1848+E1877+E1908+E1946</f>
        <v>14193.14</v>
      </c>
      <c r="F1976" s="123">
        <v>1</v>
      </c>
      <c r="G1976" s="337">
        <f>G1669+G1723+G1772+G1848+G1877+G1908+G1946</f>
        <v>3.0799999999999996</v>
      </c>
      <c r="H1976" s="337">
        <f>H1669+H1723+H1772+H1848+H1877+H1908+H1946</f>
        <v>9370.39</v>
      </c>
      <c r="I1976" s="329">
        <f>I1669+I1723+I1772+I1848+I1877+I1908</f>
        <v>0.19</v>
      </c>
      <c r="J1976" s="329"/>
      <c r="K1976" s="329">
        <f>K1669+K1723+K1772+K1848+K1877+K1908</f>
        <v>0.6819999999999999</v>
      </c>
      <c r="L1976" s="329">
        <f>L1669+L1723+L1772+L1848+L1877+L1908</f>
        <v>2.066</v>
      </c>
      <c r="M1976" s="329">
        <f>M1669+M1723+M1772+M1848+M1877+M1908+M1946</f>
        <v>9.417</v>
      </c>
      <c r="N1976" s="329">
        <f>N1669+N1723+N1772+N1848+N1877+N1908</f>
        <v>0.165</v>
      </c>
    </row>
    <row r="1977" spans="1:14" ht="10.5" customHeight="1">
      <c r="A1977" s="171"/>
      <c r="B1977" s="229"/>
      <c r="C1977" s="81"/>
      <c r="D1977" s="320"/>
      <c r="E1977" s="78">
        <f>E1670+E1724+E1773+E1815+E1849+E1878+E1909+E1947</f>
        <v>13568.039999999999</v>
      </c>
      <c r="F1977" s="123">
        <v>2</v>
      </c>
      <c r="G1977" s="337"/>
      <c r="H1977" s="337"/>
      <c r="I1977" s="329"/>
      <c r="J1977" s="329"/>
      <c r="K1977" s="329"/>
      <c r="L1977" s="329"/>
      <c r="M1977" s="329"/>
      <c r="N1977" s="329"/>
    </row>
    <row r="1978" spans="1:14" ht="10.5" customHeight="1">
      <c r="A1978" s="171"/>
      <c r="B1978" s="229"/>
      <c r="C1978" s="81"/>
      <c r="D1978" s="320"/>
      <c r="E1978" s="78">
        <f>E1671+E1774+E1879</f>
        <v>951.55</v>
      </c>
      <c r="F1978" s="123" t="s">
        <v>258</v>
      </c>
      <c r="G1978" s="337"/>
      <c r="H1978" s="337"/>
      <c r="I1978" s="329"/>
      <c r="J1978" s="329"/>
      <c r="K1978" s="329"/>
      <c r="L1978" s="329"/>
      <c r="M1978" s="329"/>
      <c r="N1978" s="329"/>
    </row>
    <row r="1979" spans="1:14" ht="10.5" customHeight="1">
      <c r="A1979" s="171"/>
      <c r="B1979" s="229"/>
      <c r="C1979" s="81"/>
      <c r="D1979" s="320"/>
      <c r="E1979" s="78">
        <f>E1725+E1775+E1910</f>
        <v>156.86</v>
      </c>
      <c r="F1979" s="123">
        <v>3</v>
      </c>
      <c r="G1979" s="337"/>
      <c r="H1979" s="337"/>
      <c r="I1979" s="329"/>
      <c r="J1979" s="329"/>
      <c r="K1979" s="329"/>
      <c r="L1979" s="329"/>
      <c r="M1979" s="329"/>
      <c r="N1979" s="329"/>
    </row>
    <row r="1980" spans="1:14" ht="11.25" customHeight="1">
      <c r="A1980" s="171"/>
      <c r="B1980" s="229"/>
      <c r="C1980" s="81"/>
      <c r="D1980" s="320"/>
      <c r="E1980" s="78">
        <f>E1672+E1726+E1776+E1850+E1911</f>
        <v>3461.3100000000004</v>
      </c>
      <c r="F1980" s="123">
        <v>4</v>
      </c>
      <c r="G1980" s="337"/>
      <c r="H1980" s="337"/>
      <c r="I1980" s="329"/>
      <c r="J1980" s="329"/>
      <c r="K1980" s="329"/>
      <c r="L1980" s="329"/>
      <c r="M1980" s="329"/>
      <c r="N1980" s="329"/>
    </row>
    <row r="1981" spans="1:14" ht="10.5" customHeight="1">
      <c r="A1981" s="171"/>
      <c r="B1981" s="229"/>
      <c r="C1981" s="81"/>
      <c r="D1981" s="320"/>
      <c r="E1981" s="78">
        <f>E1976+E1977+E1979+E1980</f>
        <v>31379.350000000002</v>
      </c>
      <c r="F1981" s="123">
        <v>5</v>
      </c>
      <c r="G1981" s="337"/>
      <c r="H1981" s="337"/>
      <c r="I1981" s="329"/>
      <c r="J1981" s="329"/>
      <c r="K1981" s="329"/>
      <c r="L1981" s="329"/>
      <c r="M1981" s="329"/>
      <c r="N1981" s="329"/>
    </row>
    <row r="1982" spans="1:14" ht="11.25" customHeight="1">
      <c r="A1982" s="171"/>
      <c r="B1982" s="229"/>
      <c r="C1982" s="81"/>
      <c r="D1982" s="320">
        <v>2015</v>
      </c>
      <c r="E1982" s="78">
        <f>E1674+E1728+E1778+E1817+E1852+E1881+E1913+E1949</f>
        <v>22260.49</v>
      </c>
      <c r="F1982" s="123">
        <v>1</v>
      </c>
      <c r="G1982" s="337">
        <f>G1674+G1728+G1778+G1852+G1881+G1913+G1949</f>
        <v>2.9699999999999998</v>
      </c>
      <c r="H1982" s="337">
        <f>H1674+H1728+H1778+H1852+H1881+H1913+H1949</f>
        <v>9550.17</v>
      </c>
      <c r="I1982" s="329">
        <f>I1674+I1728+I1778+I1852+I1881+I1913</f>
        <v>0.237</v>
      </c>
      <c r="J1982" s="329"/>
      <c r="K1982" s="329">
        <f>K1674+K1728+K1778+K1852+K1881+K1913</f>
        <v>0.444</v>
      </c>
      <c r="L1982" s="329">
        <f>L1674+L1728+L1778+L1852+L1881+L1913</f>
        <v>2.026</v>
      </c>
      <c r="M1982" s="329">
        <f>M1674+M1728+M1778+M1852+M1881+M1913+M1949</f>
        <v>10.239</v>
      </c>
      <c r="N1982" s="337"/>
    </row>
    <row r="1983" spans="1:14" ht="11.25" customHeight="1">
      <c r="A1983" s="171"/>
      <c r="B1983" s="229"/>
      <c r="C1983" s="81"/>
      <c r="D1983" s="320"/>
      <c r="E1983" s="78">
        <f>E1675+E1729+E1779+E1818+E1853+E1882+E1914+E1950</f>
        <v>13569.21</v>
      </c>
      <c r="F1983" s="123">
        <v>2</v>
      </c>
      <c r="G1983" s="337"/>
      <c r="H1983" s="337"/>
      <c r="I1983" s="329"/>
      <c r="J1983" s="329"/>
      <c r="K1983" s="329"/>
      <c r="L1983" s="329"/>
      <c r="M1983" s="329"/>
      <c r="N1983" s="337"/>
    </row>
    <row r="1984" spans="1:14" ht="10.5" customHeight="1">
      <c r="A1984" s="171"/>
      <c r="B1984" s="229"/>
      <c r="C1984" s="81"/>
      <c r="D1984" s="320"/>
      <c r="E1984" s="78">
        <f>E1676+E1780+E1883+E1915</f>
        <v>896.55</v>
      </c>
      <c r="F1984" s="123" t="s">
        <v>258</v>
      </c>
      <c r="G1984" s="337"/>
      <c r="H1984" s="337"/>
      <c r="I1984" s="329"/>
      <c r="J1984" s="329"/>
      <c r="K1984" s="329"/>
      <c r="L1984" s="329"/>
      <c r="M1984" s="329"/>
      <c r="N1984" s="337"/>
    </row>
    <row r="1985" spans="1:14" ht="10.5" customHeight="1">
      <c r="A1985" s="171"/>
      <c r="B1985" s="229"/>
      <c r="C1985" s="81"/>
      <c r="D1985" s="320"/>
      <c r="E1985" s="78">
        <f>E1730+E1781</f>
        <v>149.46</v>
      </c>
      <c r="F1985" s="123">
        <v>3</v>
      </c>
      <c r="G1985" s="337"/>
      <c r="H1985" s="337"/>
      <c r="I1985" s="329"/>
      <c r="J1985" s="329"/>
      <c r="K1985" s="329"/>
      <c r="L1985" s="329"/>
      <c r="M1985" s="329"/>
      <c r="N1985" s="337"/>
    </row>
    <row r="1986" spans="1:14" ht="9.75" customHeight="1">
      <c r="A1986" s="171"/>
      <c r="B1986" s="229"/>
      <c r="C1986" s="81"/>
      <c r="D1986" s="320"/>
      <c r="E1986" s="78">
        <f>E1677+E1731+E1782+E1916</f>
        <v>3045.81</v>
      </c>
      <c r="F1986" s="123">
        <v>4</v>
      </c>
      <c r="G1986" s="337"/>
      <c r="H1986" s="337"/>
      <c r="I1986" s="329"/>
      <c r="J1986" s="329"/>
      <c r="K1986" s="329"/>
      <c r="L1986" s="329"/>
      <c r="M1986" s="329"/>
      <c r="N1986" s="337"/>
    </row>
    <row r="1987" spans="1:14" ht="10.5" customHeight="1">
      <c r="A1987" s="171"/>
      <c r="B1987" s="229"/>
      <c r="C1987" s="162"/>
      <c r="D1987" s="320"/>
      <c r="E1987" s="78">
        <f>E1982+E1983+E1985+E1986</f>
        <v>39024.969999999994</v>
      </c>
      <c r="F1987" s="123">
        <v>5</v>
      </c>
      <c r="G1987" s="337"/>
      <c r="H1987" s="337"/>
      <c r="I1987" s="329"/>
      <c r="J1987" s="329"/>
      <c r="K1987" s="329"/>
      <c r="L1987" s="329"/>
      <c r="M1987" s="329"/>
      <c r="N1987" s="337"/>
    </row>
    <row r="1988" spans="1:14" ht="10.5" customHeight="1">
      <c r="A1988" s="402"/>
      <c r="B1988" s="294"/>
      <c r="C1988" s="432" t="s">
        <v>266</v>
      </c>
      <c r="D1988" s="400" t="s">
        <v>158</v>
      </c>
      <c r="E1988" s="116">
        <f>E1992+E1996+E2000+E2004+E2008</f>
        <v>4145</v>
      </c>
      <c r="F1988" s="133">
        <v>1</v>
      </c>
      <c r="G1988" s="459">
        <f>SUM(G1992:G2011)</f>
        <v>5.22306</v>
      </c>
      <c r="H1988" s="459">
        <f>SUM(H1992:H2011)</f>
        <v>8143.85</v>
      </c>
      <c r="I1988" s="442">
        <f>SUM(I1992:I2011)</f>
        <v>0.638</v>
      </c>
      <c r="J1988" s="442"/>
      <c r="K1988" s="442">
        <f>SUM(K1992:K2011)</f>
        <v>1.2559</v>
      </c>
      <c r="L1988" s="442">
        <f>SUM(L1992:L2011)</f>
        <v>8.763</v>
      </c>
      <c r="M1988" s="442">
        <f>SUM(M1992:M2011)</f>
        <v>2.257</v>
      </c>
      <c r="N1988" s="442"/>
    </row>
    <row r="1989" spans="1:14" ht="9.75" customHeight="1">
      <c r="A1989" s="402"/>
      <c r="B1989" s="294"/>
      <c r="C1989" s="432"/>
      <c r="D1989" s="400"/>
      <c r="E1989" s="116">
        <f>E1993+E1997+E2001+E2005+E2009</f>
        <v>38649.73</v>
      </c>
      <c r="F1989" s="133">
        <v>2</v>
      </c>
      <c r="G1989" s="459"/>
      <c r="H1989" s="459"/>
      <c r="I1989" s="442"/>
      <c r="J1989" s="442"/>
      <c r="K1989" s="442"/>
      <c r="L1989" s="442"/>
      <c r="M1989" s="442"/>
      <c r="N1989" s="442"/>
    </row>
    <row r="1990" spans="1:14" ht="10.5" customHeight="1">
      <c r="A1990" s="402"/>
      <c r="B1990" s="294"/>
      <c r="C1990" s="432"/>
      <c r="D1990" s="616"/>
      <c r="E1990" s="116">
        <f>E1994+E1998+E2002+E2006+E2010</f>
        <v>38649.73</v>
      </c>
      <c r="F1990" s="133" t="s">
        <v>258</v>
      </c>
      <c r="G1990" s="459"/>
      <c r="H1990" s="459"/>
      <c r="I1990" s="442"/>
      <c r="J1990" s="442"/>
      <c r="K1990" s="442"/>
      <c r="L1990" s="442"/>
      <c r="M1990" s="442"/>
      <c r="N1990" s="442"/>
    </row>
    <row r="1991" spans="1:14" ht="10.5" customHeight="1">
      <c r="A1991" s="402"/>
      <c r="B1991" s="294"/>
      <c r="C1991" s="432"/>
      <c r="D1991" s="400"/>
      <c r="E1991" s="116">
        <f>E1988+E1989</f>
        <v>42794.73</v>
      </c>
      <c r="F1991" s="133">
        <v>5</v>
      </c>
      <c r="G1991" s="459"/>
      <c r="H1991" s="459"/>
      <c r="I1991" s="442"/>
      <c r="J1991" s="442"/>
      <c r="K1991" s="442"/>
      <c r="L1991" s="442"/>
      <c r="M1991" s="442"/>
      <c r="N1991" s="442"/>
    </row>
    <row r="1992" spans="1:14" ht="10.5" customHeight="1">
      <c r="A1992" s="402"/>
      <c r="B1992" s="294"/>
      <c r="C1992" s="432"/>
      <c r="D1992" s="322">
        <v>2011</v>
      </c>
      <c r="E1992" s="78">
        <f>E1683+E1736+E1787+E1823+E1921</f>
        <v>1435.3</v>
      </c>
      <c r="F1992" s="123">
        <v>1</v>
      </c>
      <c r="G1992" s="337">
        <f>G1683+G1736+G1787+G1921</f>
        <v>1.17375</v>
      </c>
      <c r="H1992" s="337">
        <f>H1683+H1736+H1787+H1921</f>
        <v>1704.8799999999999</v>
      </c>
      <c r="I1992" s="329">
        <f>I1683+I1736+I1787+I1921</f>
        <v>0.089</v>
      </c>
      <c r="J1992" s="329"/>
      <c r="K1992" s="329">
        <f>K1683+K1736+K1787+K1921</f>
        <v>0.474</v>
      </c>
      <c r="L1992" s="329">
        <f>L1683+L1736+L1787+L1921</f>
        <v>1.8299999999999998</v>
      </c>
      <c r="M1992" s="329">
        <f>M1683+M1736+M1787+M1921</f>
        <v>0.463</v>
      </c>
      <c r="N1992" s="329"/>
    </row>
    <row r="1993" spans="1:14" ht="10.5" customHeight="1">
      <c r="A1993" s="402"/>
      <c r="B1993" s="294"/>
      <c r="C1993" s="432"/>
      <c r="D1993" s="322"/>
      <c r="E1993" s="78">
        <f>E1994</f>
        <v>8044.21</v>
      </c>
      <c r="F1993" s="123">
        <v>2</v>
      </c>
      <c r="G1993" s="337"/>
      <c r="H1993" s="337"/>
      <c r="I1993" s="329"/>
      <c r="J1993" s="329"/>
      <c r="K1993" s="329"/>
      <c r="L1993" s="329"/>
      <c r="M1993" s="329"/>
      <c r="N1993" s="329"/>
    </row>
    <row r="1994" spans="1:14" ht="11.25" customHeight="1">
      <c r="A1994" s="402"/>
      <c r="B1994" s="294"/>
      <c r="C1994" s="432"/>
      <c r="D1994" s="322"/>
      <c r="E1994" s="78">
        <f>E1685+E1737+E1788+E1824+E1922</f>
        <v>8044.21</v>
      </c>
      <c r="F1994" s="123" t="s">
        <v>258</v>
      </c>
      <c r="G1994" s="337"/>
      <c r="H1994" s="337"/>
      <c r="I1994" s="329"/>
      <c r="J1994" s="329"/>
      <c r="K1994" s="329"/>
      <c r="L1994" s="329"/>
      <c r="M1994" s="329"/>
      <c r="N1994" s="329"/>
    </row>
    <row r="1995" spans="1:14" ht="10.5" customHeight="1">
      <c r="A1995" s="402"/>
      <c r="B1995" s="294"/>
      <c r="C1995" s="432"/>
      <c r="D1995" s="615"/>
      <c r="E1995" s="78">
        <f>E1992+E1993</f>
        <v>9479.51</v>
      </c>
      <c r="F1995" s="123">
        <v>5</v>
      </c>
      <c r="G1995" s="337"/>
      <c r="H1995" s="337"/>
      <c r="I1995" s="329"/>
      <c r="J1995" s="329"/>
      <c r="K1995" s="329"/>
      <c r="L1995" s="329"/>
      <c r="M1995" s="329"/>
      <c r="N1995" s="329"/>
    </row>
    <row r="1996" spans="1:14" ht="9.75" customHeight="1">
      <c r="A1996" s="402"/>
      <c r="B1996" s="294"/>
      <c r="C1996" s="432"/>
      <c r="D1996" s="322">
        <v>2012</v>
      </c>
      <c r="E1996" s="78">
        <f>E1687+E1739+E1790+E1826+E1924</f>
        <v>1240</v>
      </c>
      <c r="F1996" s="123">
        <v>1</v>
      </c>
      <c r="G1996" s="337">
        <f>G1687+G1739+G1790+G1924</f>
        <v>0.9601599999999999</v>
      </c>
      <c r="H1996" s="337">
        <f>H1687+H1739+H1790+H1924</f>
        <v>1518.16</v>
      </c>
      <c r="I1996" s="329">
        <f>I1687+I1739+I1790+I1924</f>
        <v>0.11399999999999999</v>
      </c>
      <c r="J1996" s="329"/>
      <c r="K1996" s="329">
        <f>K1687+K1739+K1790+K1924</f>
        <v>0.251</v>
      </c>
      <c r="L1996" s="329">
        <f>L1687+L1739+L1790+L1924</f>
        <v>1.705</v>
      </c>
      <c r="M1996" s="329">
        <f>M1687+M1739+M1790+M1924</f>
        <v>0.414</v>
      </c>
      <c r="N1996" s="329"/>
    </row>
    <row r="1997" spans="1:14" ht="10.5" customHeight="1">
      <c r="A1997" s="402"/>
      <c r="B1997" s="294"/>
      <c r="C1997" s="432"/>
      <c r="D1997" s="322"/>
      <c r="E1997" s="78">
        <f>E1998</f>
        <v>10584.91</v>
      </c>
      <c r="F1997" s="123">
        <v>2</v>
      </c>
      <c r="G1997" s="337"/>
      <c r="H1997" s="337"/>
      <c r="I1997" s="329"/>
      <c r="J1997" s="329"/>
      <c r="K1997" s="329"/>
      <c r="L1997" s="329"/>
      <c r="M1997" s="329"/>
      <c r="N1997" s="329"/>
    </row>
    <row r="1998" spans="1:14" ht="10.5" customHeight="1">
      <c r="A1998" s="402"/>
      <c r="B1998" s="294"/>
      <c r="C1998" s="432"/>
      <c r="D1998" s="615"/>
      <c r="E1998" s="78">
        <f>E1689+E1740+E1791+E1827+E1925</f>
        <v>10584.91</v>
      </c>
      <c r="F1998" s="123" t="s">
        <v>258</v>
      </c>
      <c r="G1998" s="337"/>
      <c r="H1998" s="337"/>
      <c r="I1998" s="329"/>
      <c r="J1998" s="329"/>
      <c r="K1998" s="329"/>
      <c r="L1998" s="329"/>
      <c r="M1998" s="329"/>
      <c r="N1998" s="329"/>
    </row>
    <row r="1999" spans="1:14" ht="10.5" customHeight="1">
      <c r="A1999" s="402"/>
      <c r="B1999" s="294"/>
      <c r="C1999" s="432"/>
      <c r="D1999" s="615"/>
      <c r="E1999" s="78">
        <f>E1996+E1997</f>
        <v>11824.91</v>
      </c>
      <c r="F1999" s="123">
        <v>5</v>
      </c>
      <c r="G1999" s="337"/>
      <c r="H1999" s="337"/>
      <c r="I1999" s="329"/>
      <c r="J1999" s="329"/>
      <c r="K1999" s="329"/>
      <c r="L1999" s="329"/>
      <c r="M1999" s="329"/>
      <c r="N1999" s="329"/>
    </row>
    <row r="2000" spans="1:14" ht="10.5" customHeight="1">
      <c r="A2000" s="402"/>
      <c r="B2000" s="294"/>
      <c r="C2000" s="432"/>
      <c r="D2000" s="407">
        <v>2013</v>
      </c>
      <c r="E2000" s="78">
        <f>E1691+E1742+E1793+E1829</f>
        <v>585</v>
      </c>
      <c r="F2000" s="123">
        <v>1</v>
      </c>
      <c r="G2000" s="334">
        <f>G1691+G1742+G1793+G1927</f>
        <v>1.0094100000000001</v>
      </c>
      <c r="H2000" s="334">
        <f>H1691+H1742+H1793+H1927</f>
        <v>1605.97</v>
      </c>
      <c r="I2000" s="304">
        <f>I1691+I1742+I1793+I1927</f>
        <v>0.11</v>
      </c>
      <c r="J2000" s="304"/>
      <c r="K2000" s="304">
        <f>K1691+K1742+K1793+K1927</f>
        <v>0.0729</v>
      </c>
      <c r="L2000" s="304">
        <f>L1691+L1742+L1793+L1927</f>
        <v>1.696</v>
      </c>
      <c r="M2000" s="304">
        <f>M1691+M1742+M1793+M1927</f>
        <v>0.517</v>
      </c>
      <c r="N2000" s="334"/>
    </row>
    <row r="2001" spans="1:14" ht="10.5" customHeight="1">
      <c r="A2001" s="402"/>
      <c r="B2001" s="294"/>
      <c r="C2001" s="432"/>
      <c r="D2001" s="331"/>
      <c r="E2001" s="78">
        <f>E2002</f>
        <v>7156.59</v>
      </c>
      <c r="F2001" s="123">
        <v>2</v>
      </c>
      <c r="G2001" s="583"/>
      <c r="H2001" s="583"/>
      <c r="I2001" s="305"/>
      <c r="J2001" s="305"/>
      <c r="K2001" s="305"/>
      <c r="L2001" s="305"/>
      <c r="M2001" s="305"/>
      <c r="N2001" s="583"/>
    </row>
    <row r="2002" spans="1:14" ht="10.5" customHeight="1">
      <c r="A2002" s="402"/>
      <c r="B2002" s="294"/>
      <c r="C2002" s="432"/>
      <c r="D2002" s="331"/>
      <c r="E2002" s="78">
        <f>E1693+E1743+E1794+E1927</f>
        <v>7156.59</v>
      </c>
      <c r="F2002" s="123" t="s">
        <v>258</v>
      </c>
      <c r="G2002" s="583"/>
      <c r="H2002" s="583"/>
      <c r="I2002" s="305"/>
      <c r="J2002" s="305"/>
      <c r="K2002" s="305"/>
      <c r="L2002" s="305"/>
      <c r="M2002" s="305"/>
      <c r="N2002" s="583"/>
    </row>
    <row r="2003" spans="1:14" ht="10.5" customHeight="1">
      <c r="A2003" s="402"/>
      <c r="B2003" s="294"/>
      <c r="C2003" s="432"/>
      <c r="D2003" s="339"/>
      <c r="E2003" s="78">
        <f>E2000+E2001</f>
        <v>7741.59</v>
      </c>
      <c r="F2003" s="123">
        <v>5</v>
      </c>
      <c r="G2003" s="336"/>
      <c r="H2003" s="336"/>
      <c r="I2003" s="306"/>
      <c r="J2003" s="306"/>
      <c r="K2003" s="306"/>
      <c r="L2003" s="306"/>
      <c r="M2003" s="306"/>
      <c r="N2003" s="336"/>
    </row>
    <row r="2004" spans="1:14" ht="10.5" customHeight="1">
      <c r="A2004" s="402"/>
      <c r="B2004" s="294"/>
      <c r="C2004" s="432"/>
      <c r="D2004" s="407">
        <v>2014</v>
      </c>
      <c r="E2004" s="78">
        <f>E1695+E1745+E1796+E1830</f>
        <v>476.3</v>
      </c>
      <c r="F2004" s="123">
        <v>1</v>
      </c>
      <c r="G2004" s="334">
        <f>G1695+G1745+G1796+G1928</f>
        <v>0.97727</v>
      </c>
      <c r="H2004" s="334">
        <f>H1695+H1745+H1796+H1928</f>
        <v>1557.8700000000001</v>
      </c>
      <c r="I2004" s="304">
        <f>I1695+I1745+I1796+I1928</f>
        <v>0.132</v>
      </c>
      <c r="J2004" s="304"/>
      <c r="K2004" s="304">
        <f>K1695+K1745+K1796+K1928</f>
        <v>0.229</v>
      </c>
      <c r="L2004" s="304">
        <f>L1695+L1745+L1796+L1928</f>
        <v>1.686</v>
      </c>
      <c r="M2004" s="304">
        <f>M1695+M1745+M1796+M1928</f>
        <v>0.43399999999999994</v>
      </c>
      <c r="N2004" s="304"/>
    </row>
    <row r="2005" spans="1:14" ht="9.75" customHeight="1">
      <c r="A2005" s="402"/>
      <c r="B2005" s="294"/>
      <c r="C2005" s="432"/>
      <c r="D2005" s="331"/>
      <c r="E2005" s="78">
        <f>E2006</f>
        <v>6520.01</v>
      </c>
      <c r="F2005" s="123">
        <v>2</v>
      </c>
      <c r="G2005" s="583"/>
      <c r="H2005" s="583"/>
      <c r="I2005" s="305"/>
      <c r="J2005" s="305"/>
      <c r="K2005" s="305"/>
      <c r="L2005" s="305"/>
      <c r="M2005" s="305"/>
      <c r="N2005" s="305"/>
    </row>
    <row r="2006" spans="1:14" ht="10.5" customHeight="1">
      <c r="A2006" s="402"/>
      <c r="B2006" s="294"/>
      <c r="C2006" s="432"/>
      <c r="D2006" s="331"/>
      <c r="E2006" s="78">
        <f>E1697+E1746+E1797+E1928</f>
        <v>6520.01</v>
      </c>
      <c r="F2006" s="123" t="s">
        <v>258</v>
      </c>
      <c r="G2006" s="583"/>
      <c r="H2006" s="583"/>
      <c r="I2006" s="305"/>
      <c r="J2006" s="305"/>
      <c r="K2006" s="305"/>
      <c r="L2006" s="305"/>
      <c r="M2006" s="305"/>
      <c r="N2006" s="305"/>
    </row>
    <row r="2007" spans="1:14" ht="9.75" customHeight="1">
      <c r="A2007" s="402"/>
      <c r="B2007" s="294"/>
      <c r="C2007" s="432"/>
      <c r="D2007" s="339"/>
      <c r="E2007" s="78">
        <f>E2004+E2005</f>
        <v>6996.31</v>
      </c>
      <c r="F2007" s="123">
        <v>5</v>
      </c>
      <c r="G2007" s="336"/>
      <c r="H2007" s="336"/>
      <c r="I2007" s="306"/>
      <c r="J2007" s="306"/>
      <c r="K2007" s="306"/>
      <c r="L2007" s="306"/>
      <c r="M2007" s="306"/>
      <c r="N2007" s="306"/>
    </row>
    <row r="2008" spans="1:14" ht="10.5" customHeight="1">
      <c r="A2008" s="402"/>
      <c r="B2008" s="294"/>
      <c r="C2008" s="432"/>
      <c r="D2008" s="407">
        <v>2015</v>
      </c>
      <c r="E2008" s="78">
        <f>E1699+E1799+E1831</f>
        <v>408.4</v>
      </c>
      <c r="F2008" s="123">
        <v>1</v>
      </c>
      <c r="G2008" s="334">
        <f>G1699+G1748+G1799+G1929</f>
        <v>1.10247</v>
      </c>
      <c r="H2008" s="334">
        <f>H1699+H1748+H1799+H1929</f>
        <v>1756.97</v>
      </c>
      <c r="I2008" s="304">
        <f>I1699+I1748+I1799+I1929</f>
        <v>0.193</v>
      </c>
      <c r="J2008" s="304"/>
      <c r="K2008" s="304">
        <f>K1699+K1748+K1799+K1929</f>
        <v>0.229</v>
      </c>
      <c r="L2008" s="304">
        <f>L1699+L1748+L1799+L1929</f>
        <v>1.846</v>
      </c>
      <c r="M2008" s="304">
        <f>M1699+M1748+M1799+M1929</f>
        <v>0.42899999999999994</v>
      </c>
      <c r="N2008" s="304"/>
    </row>
    <row r="2009" spans="1:14" ht="10.5" customHeight="1">
      <c r="A2009" s="402"/>
      <c r="B2009" s="294"/>
      <c r="C2009" s="432"/>
      <c r="D2009" s="331"/>
      <c r="E2009" s="78">
        <f>E2010</f>
        <v>6344.01</v>
      </c>
      <c r="F2009" s="123">
        <v>2</v>
      </c>
      <c r="G2009" s="583"/>
      <c r="H2009" s="583"/>
      <c r="I2009" s="305"/>
      <c r="J2009" s="305"/>
      <c r="K2009" s="305"/>
      <c r="L2009" s="305"/>
      <c r="M2009" s="305"/>
      <c r="N2009" s="305"/>
    </row>
    <row r="2010" spans="1:14" ht="10.5" customHeight="1">
      <c r="A2010" s="402"/>
      <c r="B2010" s="294"/>
      <c r="C2010" s="432"/>
      <c r="D2010" s="331"/>
      <c r="E2010" s="78">
        <f>E1701+E1748+E1800</f>
        <v>6344.01</v>
      </c>
      <c r="F2010" s="123" t="s">
        <v>258</v>
      </c>
      <c r="G2010" s="583"/>
      <c r="H2010" s="583"/>
      <c r="I2010" s="305"/>
      <c r="J2010" s="305"/>
      <c r="K2010" s="305"/>
      <c r="L2010" s="305"/>
      <c r="M2010" s="305"/>
      <c r="N2010" s="305"/>
    </row>
    <row r="2011" spans="1:14" ht="9.75" customHeight="1">
      <c r="A2011" s="360"/>
      <c r="B2011" s="295"/>
      <c r="C2011" s="587"/>
      <c r="D2011" s="339"/>
      <c r="E2011" s="78">
        <f>E2008+E2009</f>
        <v>6752.41</v>
      </c>
      <c r="F2011" s="123">
        <v>5</v>
      </c>
      <c r="G2011" s="336"/>
      <c r="H2011" s="336"/>
      <c r="I2011" s="306"/>
      <c r="J2011" s="306"/>
      <c r="K2011" s="306"/>
      <c r="L2011" s="306"/>
      <c r="M2011" s="306"/>
      <c r="N2011" s="306"/>
    </row>
    <row r="2012" spans="1:14" ht="9.75" customHeight="1">
      <c r="A2012" s="401"/>
      <c r="B2012" s="313" t="s">
        <v>24</v>
      </c>
      <c r="C2012" s="332" t="s">
        <v>466</v>
      </c>
      <c r="D2012" s="400" t="s">
        <v>158</v>
      </c>
      <c r="E2012" s="116">
        <f>E2018+E2024+E2030+E2036+E2042</f>
        <v>185302.626</v>
      </c>
      <c r="F2012" s="117">
        <v>1</v>
      </c>
      <c r="G2012" s="459">
        <f>SUM(G2018:G2047)</f>
        <v>25.44306</v>
      </c>
      <c r="H2012" s="459">
        <f>SUM(H2018:H2047)</f>
        <v>57663.96</v>
      </c>
      <c r="I2012" s="442">
        <f>SUM(I2018:I2047)</f>
        <v>2.89</v>
      </c>
      <c r="J2012" s="442"/>
      <c r="K2012" s="442">
        <f>SUM(K2018:K2047)</f>
        <v>7.2519</v>
      </c>
      <c r="L2012" s="442">
        <f>SUM(L2018:L2047)</f>
        <v>20.424</v>
      </c>
      <c r="M2012" s="442">
        <f>SUM(M2018:M2047)</f>
        <v>57.304999999999986</v>
      </c>
      <c r="N2012" s="442">
        <f>SUM(N2018:N2047)</f>
        <v>0.63</v>
      </c>
    </row>
    <row r="2013" spans="1:14" ht="10.5" customHeight="1">
      <c r="A2013" s="394"/>
      <c r="B2013" s="314"/>
      <c r="C2013" s="333"/>
      <c r="D2013" s="400"/>
      <c r="E2013" s="116">
        <f>E2019+E2025+E2031+E2037+E2043</f>
        <v>133790.59000000003</v>
      </c>
      <c r="F2013" s="117">
        <v>2</v>
      </c>
      <c r="G2013" s="459"/>
      <c r="H2013" s="459"/>
      <c r="I2013" s="442"/>
      <c r="J2013" s="442"/>
      <c r="K2013" s="442"/>
      <c r="L2013" s="442"/>
      <c r="M2013" s="442"/>
      <c r="N2013" s="442"/>
    </row>
    <row r="2014" spans="1:14" ht="9.75" customHeight="1">
      <c r="A2014" s="394"/>
      <c r="B2014" s="314"/>
      <c r="C2014" s="333"/>
      <c r="D2014" s="400"/>
      <c r="E2014" s="116">
        <f>E2020+E2026+E2032+E2038+E2044</f>
        <v>42745.979999999996</v>
      </c>
      <c r="F2014" s="117" t="s">
        <v>258</v>
      </c>
      <c r="G2014" s="459"/>
      <c r="H2014" s="459"/>
      <c r="I2014" s="442"/>
      <c r="J2014" s="442"/>
      <c r="K2014" s="442"/>
      <c r="L2014" s="442"/>
      <c r="M2014" s="442"/>
      <c r="N2014" s="442"/>
    </row>
    <row r="2015" spans="1:14" ht="9.75" customHeight="1">
      <c r="A2015" s="394"/>
      <c r="B2015" s="314"/>
      <c r="C2015" s="333"/>
      <c r="D2015" s="400"/>
      <c r="E2015" s="116">
        <f>E2021+E2027+E2033+E2039+E2045</f>
        <v>808.0000000000001</v>
      </c>
      <c r="F2015" s="117">
        <v>3</v>
      </c>
      <c r="G2015" s="459"/>
      <c r="H2015" s="459"/>
      <c r="I2015" s="442"/>
      <c r="J2015" s="442"/>
      <c r="K2015" s="442"/>
      <c r="L2015" s="442"/>
      <c r="M2015" s="442"/>
      <c r="N2015" s="442"/>
    </row>
    <row r="2016" spans="1:14" ht="11.25" customHeight="1">
      <c r="A2016" s="394"/>
      <c r="B2016" s="314"/>
      <c r="C2016" s="333"/>
      <c r="D2016" s="400"/>
      <c r="E2016" s="116">
        <f>E2022+E2028+E2034+E2040+E2046</f>
        <v>171055.08</v>
      </c>
      <c r="F2016" s="117">
        <v>4</v>
      </c>
      <c r="G2016" s="459"/>
      <c r="H2016" s="459"/>
      <c r="I2016" s="442"/>
      <c r="J2016" s="442"/>
      <c r="K2016" s="442"/>
      <c r="L2016" s="442"/>
      <c r="M2016" s="442"/>
      <c r="N2016" s="442"/>
    </row>
    <row r="2017" spans="1:14" ht="10.5" customHeight="1">
      <c r="A2017" s="394"/>
      <c r="B2017" s="314"/>
      <c r="C2017" s="333"/>
      <c r="D2017" s="400"/>
      <c r="E2017" s="116">
        <f>E2012+E2013+E2015+E2016</f>
        <v>490956.296</v>
      </c>
      <c r="F2017" s="117">
        <v>5</v>
      </c>
      <c r="G2017" s="459"/>
      <c r="H2017" s="459"/>
      <c r="I2017" s="442"/>
      <c r="J2017" s="442"/>
      <c r="K2017" s="442"/>
      <c r="L2017" s="442"/>
      <c r="M2017" s="442"/>
      <c r="N2017" s="442"/>
    </row>
    <row r="2018" spans="1:14" ht="9.75" customHeight="1">
      <c r="A2018" s="394"/>
      <c r="B2018" s="314"/>
      <c r="C2018" s="333"/>
      <c r="D2018" s="460">
        <v>2011</v>
      </c>
      <c r="E2018" s="116">
        <f>E1992+E1958</f>
        <v>18367.63</v>
      </c>
      <c r="F2018" s="117">
        <v>1</v>
      </c>
      <c r="G2018" s="459">
        <f>G1992+G1958</f>
        <v>6.373749999999999</v>
      </c>
      <c r="H2018" s="459">
        <f>H1992+H1958</f>
        <v>9437.869999999999</v>
      </c>
      <c r="I2018" s="442">
        <f>I1992+I1958</f>
        <v>0.721</v>
      </c>
      <c r="J2018" s="442"/>
      <c r="K2018" s="442">
        <f>K1992+K1958</f>
        <v>2.9210000000000003</v>
      </c>
      <c r="L2018" s="442">
        <f>L1992+L1958</f>
        <v>5.085</v>
      </c>
      <c r="M2018" s="442">
        <f>M1992+M1958</f>
        <v>9.415999999999999</v>
      </c>
      <c r="N2018" s="442">
        <f>N1992+N1958</f>
        <v>0.2</v>
      </c>
    </row>
    <row r="2019" spans="1:14" ht="10.5" customHeight="1">
      <c r="A2019" s="394"/>
      <c r="B2019" s="314"/>
      <c r="C2019" s="333"/>
      <c r="D2019" s="460"/>
      <c r="E2019" s="116">
        <f>E1993+E1959</f>
        <v>33447.01</v>
      </c>
      <c r="F2019" s="117">
        <v>2</v>
      </c>
      <c r="G2019" s="459"/>
      <c r="H2019" s="459"/>
      <c r="I2019" s="442"/>
      <c r="J2019" s="442"/>
      <c r="K2019" s="442"/>
      <c r="L2019" s="442"/>
      <c r="M2019" s="442"/>
      <c r="N2019" s="442"/>
    </row>
    <row r="2020" spans="1:14" ht="9.75" customHeight="1">
      <c r="A2020" s="394"/>
      <c r="B2020" s="314"/>
      <c r="C2020" s="333"/>
      <c r="D2020" s="460"/>
      <c r="E2020" s="116">
        <f>E1994+E1960</f>
        <v>8716.26</v>
      </c>
      <c r="F2020" s="117" t="s">
        <v>258</v>
      </c>
      <c r="G2020" s="459"/>
      <c r="H2020" s="459"/>
      <c r="I2020" s="442"/>
      <c r="J2020" s="442"/>
      <c r="K2020" s="442"/>
      <c r="L2020" s="442"/>
      <c r="M2020" s="442"/>
      <c r="N2020" s="442"/>
    </row>
    <row r="2021" spans="1:14" ht="9.75" customHeight="1">
      <c r="A2021" s="394"/>
      <c r="B2021" s="314"/>
      <c r="C2021" s="333"/>
      <c r="D2021" s="460"/>
      <c r="E2021" s="116">
        <f>E1961</f>
        <v>182.36</v>
      </c>
      <c r="F2021" s="117">
        <v>3</v>
      </c>
      <c r="G2021" s="459"/>
      <c r="H2021" s="459"/>
      <c r="I2021" s="442"/>
      <c r="J2021" s="442"/>
      <c r="K2021" s="442"/>
      <c r="L2021" s="442"/>
      <c r="M2021" s="442"/>
      <c r="N2021" s="442"/>
    </row>
    <row r="2022" spans="1:14" ht="10.5" customHeight="1">
      <c r="A2022" s="394"/>
      <c r="B2022" s="314"/>
      <c r="C2022" s="333"/>
      <c r="D2022" s="460"/>
      <c r="E2022" s="116">
        <f>E1962</f>
        <v>70437.16</v>
      </c>
      <c r="F2022" s="117">
        <v>4</v>
      </c>
      <c r="G2022" s="459"/>
      <c r="H2022" s="459"/>
      <c r="I2022" s="442"/>
      <c r="J2022" s="442"/>
      <c r="K2022" s="442"/>
      <c r="L2022" s="442"/>
      <c r="M2022" s="442"/>
      <c r="N2022" s="442"/>
    </row>
    <row r="2023" spans="1:14" ht="10.5" customHeight="1">
      <c r="A2023" s="394"/>
      <c r="B2023" s="314"/>
      <c r="C2023" s="333"/>
      <c r="D2023" s="460"/>
      <c r="E2023" s="116">
        <f>E2018+E2019+E2021+E2022</f>
        <v>122434.16</v>
      </c>
      <c r="F2023" s="117">
        <v>5</v>
      </c>
      <c r="G2023" s="459"/>
      <c r="H2023" s="459"/>
      <c r="I2023" s="442"/>
      <c r="J2023" s="442"/>
      <c r="K2023" s="442"/>
      <c r="L2023" s="442"/>
      <c r="M2023" s="442"/>
      <c r="N2023" s="442"/>
    </row>
    <row r="2024" spans="1:14" ht="9.75" customHeight="1">
      <c r="A2024" s="394"/>
      <c r="B2024" s="314"/>
      <c r="C2024" s="333"/>
      <c r="D2024" s="460">
        <v>2012</v>
      </c>
      <c r="E2024" s="116">
        <f>E1996+E1964</f>
        <v>30368.735999999997</v>
      </c>
      <c r="F2024" s="117">
        <v>1</v>
      </c>
      <c r="G2024" s="459">
        <f>G1996+G1964</f>
        <v>5.53016</v>
      </c>
      <c r="H2024" s="459">
        <f>H1996+H1964</f>
        <v>10686.130000000001</v>
      </c>
      <c r="I2024" s="442">
        <f>I1996+I1964</f>
        <v>1.032</v>
      </c>
      <c r="J2024" s="442"/>
      <c r="K2024" s="442">
        <f>K1996+K1964</f>
        <v>1.7560000000000002</v>
      </c>
      <c r="L2024" s="442">
        <f>L1996+L1964</f>
        <v>3.975</v>
      </c>
      <c r="M2024" s="442">
        <f>M1996+M1964</f>
        <v>10.735999999999997</v>
      </c>
      <c r="N2024" s="442">
        <f>N1996+N1964</f>
        <v>0.159</v>
      </c>
    </row>
    <row r="2025" spans="1:14" ht="10.5" customHeight="1">
      <c r="A2025" s="394"/>
      <c r="B2025" s="314"/>
      <c r="C2025" s="333"/>
      <c r="D2025" s="460"/>
      <c r="E2025" s="116">
        <f>E1997+E1965</f>
        <v>38113.770000000004</v>
      </c>
      <c r="F2025" s="117">
        <v>2</v>
      </c>
      <c r="G2025" s="459"/>
      <c r="H2025" s="459"/>
      <c r="I2025" s="442"/>
      <c r="J2025" s="442"/>
      <c r="K2025" s="442"/>
      <c r="L2025" s="442"/>
      <c r="M2025" s="442"/>
      <c r="N2025" s="442"/>
    </row>
    <row r="2026" spans="1:14" ht="10.5" customHeight="1">
      <c r="A2026" s="394"/>
      <c r="B2026" s="314"/>
      <c r="C2026" s="333"/>
      <c r="D2026" s="460"/>
      <c r="E2026" s="116">
        <f>E1998+E1966</f>
        <v>11316.96</v>
      </c>
      <c r="F2026" s="117" t="s">
        <v>258</v>
      </c>
      <c r="G2026" s="459"/>
      <c r="H2026" s="459"/>
      <c r="I2026" s="442"/>
      <c r="J2026" s="442"/>
      <c r="K2026" s="442"/>
      <c r="L2026" s="442"/>
      <c r="M2026" s="442"/>
      <c r="N2026" s="442"/>
    </row>
    <row r="2027" spans="1:14" ht="10.5" customHeight="1">
      <c r="A2027" s="394"/>
      <c r="B2027" s="314"/>
      <c r="C2027" s="333"/>
      <c r="D2027" s="460"/>
      <c r="E2027" s="116">
        <f>E1967</f>
        <v>166.66000000000003</v>
      </c>
      <c r="F2027" s="117">
        <v>3</v>
      </c>
      <c r="G2027" s="459"/>
      <c r="H2027" s="459"/>
      <c r="I2027" s="442"/>
      <c r="J2027" s="442"/>
      <c r="K2027" s="442"/>
      <c r="L2027" s="442"/>
      <c r="M2027" s="442"/>
      <c r="N2027" s="442"/>
    </row>
    <row r="2028" spans="1:14" ht="10.5" customHeight="1">
      <c r="A2028" s="394"/>
      <c r="B2028" s="314"/>
      <c r="C2028" s="333"/>
      <c r="D2028" s="460"/>
      <c r="E2028" s="116">
        <f>E1968</f>
        <v>69994.59</v>
      </c>
      <c r="F2028" s="117">
        <v>4</v>
      </c>
      <c r="G2028" s="459"/>
      <c r="H2028" s="459"/>
      <c r="I2028" s="442"/>
      <c r="J2028" s="442"/>
      <c r="K2028" s="442"/>
      <c r="L2028" s="442"/>
      <c r="M2028" s="442"/>
      <c r="N2028" s="442"/>
    </row>
    <row r="2029" spans="1:14" ht="9.75" customHeight="1">
      <c r="A2029" s="394"/>
      <c r="B2029" s="314"/>
      <c r="C2029" s="333"/>
      <c r="D2029" s="460"/>
      <c r="E2029" s="116">
        <f>E2024+E2025+E2027+E2028</f>
        <v>138643.756</v>
      </c>
      <c r="F2029" s="117">
        <v>5</v>
      </c>
      <c r="G2029" s="459"/>
      <c r="H2029" s="459"/>
      <c r="I2029" s="442"/>
      <c r="J2029" s="442"/>
      <c r="K2029" s="442"/>
      <c r="L2029" s="442"/>
      <c r="M2029" s="442"/>
      <c r="N2029" s="442"/>
    </row>
    <row r="2030" spans="1:14" ht="11.25" customHeight="1">
      <c r="A2030" s="394"/>
      <c r="B2030" s="314"/>
      <c r="C2030" s="408"/>
      <c r="D2030" s="460">
        <v>2013</v>
      </c>
      <c r="E2030" s="116">
        <f>E2000+E1970</f>
        <v>99227.93</v>
      </c>
      <c r="F2030" s="117">
        <v>1</v>
      </c>
      <c r="G2030" s="459">
        <f>G2000+G1970</f>
        <v>5.40941</v>
      </c>
      <c r="H2030" s="459">
        <f>H2000+H1970</f>
        <v>15304.559999999998</v>
      </c>
      <c r="I2030" s="442">
        <f>I2000+I1970</f>
        <v>0.385</v>
      </c>
      <c r="J2030" s="442"/>
      <c r="K2030" s="442">
        <f>K2000+K1970</f>
        <v>0.9908999999999999</v>
      </c>
      <c r="L2030" s="442">
        <f>L2000+L1970</f>
        <v>3.74</v>
      </c>
      <c r="M2030" s="442">
        <f>M2000+M1970</f>
        <v>16.633999999999997</v>
      </c>
      <c r="N2030" s="442">
        <f>N2000+N1970</f>
        <v>0.106</v>
      </c>
    </row>
    <row r="2031" spans="1:14" ht="12.75" customHeight="1">
      <c r="A2031" s="394"/>
      <c r="B2031" s="314"/>
      <c r="C2031" s="408"/>
      <c r="D2031" s="460"/>
      <c r="E2031" s="116">
        <f>E2001+E1971</f>
        <v>22228.54</v>
      </c>
      <c r="F2031" s="117">
        <v>2</v>
      </c>
      <c r="G2031" s="459"/>
      <c r="H2031" s="459"/>
      <c r="I2031" s="442"/>
      <c r="J2031" s="442"/>
      <c r="K2031" s="442"/>
      <c r="L2031" s="442"/>
      <c r="M2031" s="442"/>
      <c r="N2031" s="442"/>
    </row>
    <row r="2032" spans="1:14" ht="11.25" customHeight="1">
      <c r="A2032" s="394"/>
      <c r="B2032" s="314"/>
      <c r="C2032" s="408"/>
      <c r="D2032" s="460"/>
      <c r="E2032" s="116">
        <f>E2002+E1972</f>
        <v>8000.64</v>
      </c>
      <c r="F2032" s="117" t="s">
        <v>258</v>
      </c>
      <c r="G2032" s="459"/>
      <c r="H2032" s="459"/>
      <c r="I2032" s="442"/>
      <c r="J2032" s="442"/>
      <c r="K2032" s="442"/>
      <c r="L2032" s="442"/>
      <c r="M2032" s="442"/>
      <c r="N2032" s="442"/>
    </row>
    <row r="2033" spans="1:14" ht="12.75" customHeight="1">
      <c r="A2033" s="394"/>
      <c r="B2033" s="314"/>
      <c r="C2033" s="408"/>
      <c r="D2033" s="649"/>
      <c r="E2033" s="116">
        <f>E1973</f>
        <v>152.66000000000003</v>
      </c>
      <c r="F2033" s="230">
        <v>3</v>
      </c>
      <c r="G2033" s="459"/>
      <c r="H2033" s="459"/>
      <c r="I2033" s="442"/>
      <c r="J2033" s="442"/>
      <c r="K2033" s="442"/>
      <c r="L2033" s="442"/>
      <c r="M2033" s="442"/>
      <c r="N2033" s="442"/>
    </row>
    <row r="2034" spans="1:14" ht="12.75" customHeight="1">
      <c r="A2034" s="394"/>
      <c r="B2034" s="314"/>
      <c r="C2034" s="408"/>
      <c r="D2034" s="460"/>
      <c r="E2034" s="116">
        <f>E1974</f>
        <v>24116.21</v>
      </c>
      <c r="F2034" s="117">
        <v>4</v>
      </c>
      <c r="G2034" s="459"/>
      <c r="H2034" s="459"/>
      <c r="I2034" s="442"/>
      <c r="J2034" s="442"/>
      <c r="K2034" s="442"/>
      <c r="L2034" s="442"/>
      <c r="M2034" s="442"/>
      <c r="N2034" s="442"/>
    </row>
    <row r="2035" spans="1:14" ht="12.75" customHeight="1">
      <c r="A2035" s="394"/>
      <c r="B2035" s="314"/>
      <c r="C2035" s="408"/>
      <c r="D2035" s="460"/>
      <c r="E2035" s="116">
        <f>E2030+E2031+E2033+E2034</f>
        <v>145725.34</v>
      </c>
      <c r="F2035" s="117">
        <v>5</v>
      </c>
      <c r="G2035" s="459"/>
      <c r="H2035" s="459"/>
      <c r="I2035" s="442"/>
      <c r="J2035" s="442"/>
      <c r="K2035" s="442"/>
      <c r="L2035" s="442"/>
      <c r="M2035" s="442"/>
      <c r="N2035" s="442"/>
    </row>
    <row r="2036" spans="1:14" ht="12" customHeight="1">
      <c r="A2036" s="394"/>
      <c r="B2036" s="314"/>
      <c r="C2036" s="408"/>
      <c r="D2036" s="460">
        <v>2014</v>
      </c>
      <c r="E2036" s="116">
        <f>E2004+E1976</f>
        <v>14669.439999999999</v>
      </c>
      <c r="F2036" s="117">
        <v>1</v>
      </c>
      <c r="G2036" s="459">
        <f>G2004+G1976</f>
        <v>4.05727</v>
      </c>
      <c r="H2036" s="459">
        <f>H2004+H1976</f>
        <v>10928.26</v>
      </c>
      <c r="I2036" s="442">
        <f>I2004+I1976</f>
        <v>0.322</v>
      </c>
      <c r="J2036" s="442"/>
      <c r="K2036" s="442">
        <f>K2004+K1976</f>
        <v>0.9109999999999999</v>
      </c>
      <c r="L2036" s="442">
        <f>L2004+L1976</f>
        <v>3.752</v>
      </c>
      <c r="M2036" s="442">
        <f>M2004+M1976</f>
        <v>9.850999999999999</v>
      </c>
      <c r="N2036" s="442">
        <f>N2004+N1976</f>
        <v>0.165</v>
      </c>
    </row>
    <row r="2037" spans="1:14" ht="11.25" customHeight="1">
      <c r="A2037" s="394"/>
      <c r="B2037" s="314"/>
      <c r="C2037" s="408"/>
      <c r="D2037" s="460"/>
      <c r="E2037" s="116">
        <f>E2005+E1977</f>
        <v>20088.05</v>
      </c>
      <c r="F2037" s="117">
        <v>2</v>
      </c>
      <c r="G2037" s="459"/>
      <c r="H2037" s="459"/>
      <c r="I2037" s="442"/>
      <c r="J2037" s="442"/>
      <c r="K2037" s="442"/>
      <c r="L2037" s="442"/>
      <c r="M2037" s="442"/>
      <c r="N2037" s="442"/>
    </row>
    <row r="2038" spans="1:14" ht="12" customHeight="1">
      <c r="A2038" s="394"/>
      <c r="B2038" s="314"/>
      <c r="C2038" s="408"/>
      <c r="D2038" s="460"/>
      <c r="E2038" s="116">
        <f>E2006+E1978</f>
        <v>7471.56</v>
      </c>
      <c r="F2038" s="117" t="s">
        <v>258</v>
      </c>
      <c r="G2038" s="459"/>
      <c r="H2038" s="459"/>
      <c r="I2038" s="442"/>
      <c r="J2038" s="442"/>
      <c r="K2038" s="442"/>
      <c r="L2038" s="442"/>
      <c r="M2038" s="442"/>
      <c r="N2038" s="442"/>
    </row>
    <row r="2039" spans="1:14" ht="12" customHeight="1">
      <c r="A2039" s="394"/>
      <c r="B2039" s="314"/>
      <c r="C2039" s="408"/>
      <c r="D2039" s="460"/>
      <c r="E2039" s="116">
        <f>E1979</f>
        <v>156.86</v>
      </c>
      <c r="F2039" s="117">
        <v>3</v>
      </c>
      <c r="G2039" s="459"/>
      <c r="H2039" s="459"/>
      <c r="I2039" s="442"/>
      <c r="J2039" s="442"/>
      <c r="K2039" s="442"/>
      <c r="L2039" s="442"/>
      <c r="M2039" s="442"/>
      <c r="N2039" s="442"/>
    </row>
    <row r="2040" spans="1:14" ht="11.25" customHeight="1">
      <c r="A2040" s="394"/>
      <c r="B2040" s="314"/>
      <c r="C2040" s="408"/>
      <c r="D2040" s="460"/>
      <c r="E2040" s="116">
        <f>E1980</f>
        <v>3461.3100000000004</v>
      </c>
      <c r="F2040" s="117">
        <v>4</v>
      </c>
      <c r="G2040" s="459"/>
      <c r="H2040" s="459"/>
      <c r="I2040" s="442"/>
      <c r="J2040" s="442"/>
      <c r="K2040" s="442"/>
      <c r="L2040" s="442"/>
      <c r="M2040" s="442"/>
      <c r="N2040" s="442"/>
    </row>
    <row r="2041" spans="1:14" ht="12" customHeight="1">
      <c r="A2041" s="394"/>
      <c r="B2041" s="314"/>
      <c r="C2041" s="408"/>
      <c r="D2041" s="460"/>
      <c r="E2041" s="116">
        <f>E2036+E2037+E2039+E2040</f>
        <v>38375.659999999996</v>
      </c>
      <c r="F2041" s="117">
        <v>5</v>
      </c>
      <c r="G2041" s="459"/>
      <c r="H2041" s="459"/>
      <c r="I2041" s="442"/>
      <c r="J2041" s="442"/>
      <c r="K2041" s="442"/>
      <c r="L2041" s="442"/>
      <c r="M2041" s="442"/>
      <c r="N2041" s="442"/>
    </row>
    <row r="2042" spans="1:14" ht="11.25" customHeight="1">
      <c r="A2042" s="394"/>
      <c r="B2042" s="314"/>
      <c r="C2042" s="408"/>
      <c r="D2042" s="460">
        <v>2015</v>
      </c>
      <c r="E2042" s="116">
        <f>E2008+E1982</f>
        <v>22668.890000000003</v>
      </c>
      <c r="F2042" s="117">
        <v>1</v>
      </c>
      <c r="G2042" s="459">
        <f>G2008+G1982</f>
        <v>4.07247</v>
      </c>
      <c r="H2042" s="459">
        <f>H2008+H1982</f>
        <v>11307.14</v>
      </c>
      <c r="I2042" s="442">
        <f>I2008+I1982</f>
        <v>0.43</v>
      </c>
      <c r="J2042" s="442"/>
      <c r="K2042" s="442">
        <f>K2008+K1982</f>
        <v>0.673</v>
      </c>
      <c r="L2042" s="442">
        <f>L2008+L1982</f>
        <v>3.872</v>
      </c>
      <c r="M2042" s="442">
        <f>M2008+M1982</f>
        <v>10.668000000000001</v>
      </c>
      <c r="N2042" s="459"/>
    </row>
    <row r="2043" spans="1:14" ht="12" customHeight="1">
      <c r="A2043" s="394"/>
      <c r="B2043" s="314"/>
      <c r="C2043" s="408"/>
      <c r="D2043" s="460"/>
      <c r="E2043" s="116">
        <f>E2009+E1983</f>
        <v>19913.22</v>
      </c>
      <c r="F2043" s="117">
        <v>2</v>
      </c>
      <c r="G2043" s="459"/>
      <c r="H2043" s="459"/>
      <c r="I2043" s="442"/>
      <c r="J2043" s="442"/>
      <c r="K2043" s="442"/>
      <c r="L2043" s="442"/>
      <c r="M2043" s="442"/>
      <c r="N2043" s="459"/>
    </row>
    <row r="2044" spans="1:14" ht="12" customHeight="1">
      <c r="A2044" s="394"/>
      <c r="B2044" s="314"/>
      <c r="C2044" s="408"/>
      <c r="D2044" s="460"/>
      <c r="E2044" s="116">
        <f>E2010+E1984</f>
        <v>7240.56</v>
      </c>
      <c r="F2044" s="117" t="s">
        <v>258</v>
      </c>
      <c r="G2044" s="459"/>
      <c r="H2044" s="459"/>
      <c r="I2044" s="442"/>
      <c r="J2044" s="442"/>
      <c r="K2044" s="442"/>
      <c r="L2044" s="442"/>
      <c r="M2044" s="442"/>
      <c r="N2044" s="459"/>
    </row>
    <row r="2045" spans="1:14" ht="12" customHeight="1">
      <c r="A2045" s="394"/>
      <c r="B2045" s="314"/>
      <c r="C2045" s="408"/>
      <c r="D2045" s="460"/>
      <c r="E2045" s="116">
        <f>E1985</f>
        <v>149.46</v>
      </c>
      <c r="F2045" s="117">
        <v>3</v>
      </c>
      <c r="G2045" s="459"/>
      <c r="H2045" s="459"/>
      <c r="I2045" s="442"/>
      <c r="J2045" s="442"/>
      <c r="K2045" s="442"/>
      <c r="L2045" s="442"/>
      <c r="M2045" s="442"/>
      <c r="N2045" s="459"/>
    </row>
    <row r="2046" spans="1:14" ht="12" customHeight="1">
      <c r="A2046" s="394"/>
      <c r="B2046" s="314"/>
      <c r="C2046" s="408"/>
      <c r="D2046" s="460"/>
      <c r="E2046" s="116">
        <f>E1986</f>
        <v>3045.81</v>
      </c>
      <c r="F2046" s="117">
        <v>4</v>
      </c>
      <c r="G2046" s="459"/>
      <c r="H2046" s="459"/>
      <c r="I2046" s="442"/>
      <c r="J2046" s="442"/>
      <c r="K2046" s="442"/>
      <c r="L2046" s="442"/>
      <c r="M2046" s="442"/>
      <c r="N2046" s="459"/>
    </row>
    <row r="2047" spans="1:14" ht="12" customHeight="1">
      <c r="A2047" s="413"/>
      <c r="B2047" s="315"/>
      <c r="C2047" s="409"/>
      <c r="D2047" s="460"/>
      <c r="E2047" s="116">
        <f>E2042+E2043+E2045+E2046</f>
        <v>45777.38</v>
      </c>
      <c r="F2047" s="117">
        <v>5</v>
      </c>
      <c r="G2047" s="459"/>
      <c r="H2047" s="459"/>
      <c r="I2047" s="442"/>
      <c r="J2047" s="442"/>
      <c r="K2047" s="442"/>
      <c r="L2047" s="442"/>
      <c r="M2047" s="442"/>
      <c r="N2047" s="459"/>
    </row>
    <row r="2048" spans="1:14" ht="12.75" customHeight="1">
      <c r="A2048" s="627" t="s">
        <v>271</v>
      </c>
      <c r="B2048" s="628"/>
      <c r="C2048" s="628"/>
      <c r="D2048" s="628"/>
      <c r="E2048" s="628"/>
      <c r="F2048" s="628"/>
      <c r="G2048" s="628"/>
      <c r="H2048" s="628"/>
      <c r="I2048" s="628"/>
      <c r="J2048" s="628"/>
      <c r="K2048" s="628"/>
      <c r="L2048" s="628"/>
      <c r="M2048" s="628"/>
      <c r="N2048" s="629"/>
    </row>
    <row r="2049" spans="1:14" ht="21.75" customHeight="1">
      <c r="A2049" s="428">
        <v>157</v>
      </c>
      <c r="B2049" s="284" t="s">
        <v>272</v>
      </c>
      <c r="C2049" s="322" t="s">
        <v>273</v>
      </c>
      <c r="D2049" s="17" t="s">
        <v>120</v>
      </c>
      <c r="E2049" s="78"/>
      <c r="F2049" s="79"/>
      <c r="G2049" s="6">
        <v>15.5</v>
      </c>
      <c r="H2049" s="6">
        <v>6195</v>
      </c>
      <c r="I2049" s="5"/>
      <c r="J2049" s="5"/>
      <c r="K2049" s="5">
        <v>20.65</v>
      </c>
      <c r="L2049" s="5"/>
      <c r="M2049" s="5"/>
      <c r="N2049" s="64"/>
    </row>
    <row r="2050" spans="1:14" ht="11.25" customHeight="1">
      <c r="A2050" s="428"/>
      <c r="B2050" s="284"/>
      <c r="C2050" s="322"/>
      <c r="D2050" s="123">
        <v>2011</v>
      </c>
      <c r="E2050" s="78"/>
      <c r="F2050" s="79"/>
      <c r="G2050" s="6">
        <v>3.1</v>
      </c>
      <c r="H2050" s="6">
        <v>1239</v>
      </c>
      <c r="I2050" s="5"/>
      <c r="J2050" s="5"/>
      <c r="K2050" s="5">
        <v>4.13</v>
      </c>
      <c r="L2050" s="5"/>
      <c r="M2050" s="5"/>
      <c r="N2050" s="64"/>
    </row>
    <row r="2051" spans="1:14" ht="11.25" customHeight="1">
      <c r="A2051" s="428"/>
      <c r="B2051" s="284"/>
      <c r="C2051" s="322"/>
      <c r="D2051" s="123">
        <v>2012</v>
      </c>
      <c r="E2051" s="78"/>
      <c r="F2051" s="79"/>
      <c r="G2051" s="6">
        <v>3.1</v>
      </c>
      <c r="H2051" s="6">
        <v>1239</v>
      </c>
      <c r="I2051" s="5"/>
      <c r="J2051" s="5"/>
      <c r="K2051" s="5">
        <v>4.13</v>
      </c>
      <c r="L2051" s="5"/>
      <c r="M2051" s="5"/>
      <c r="N2051" s="64"/>
    </row>
    <row r="2052" spans="1:14" ht="12" customHeight="1">
      <c r="A2052" s="428"/>
      <c r="B2052" s="284"/>
      <c r="C2052" s="322"/>
      <c r="D2052" s="123">
        <v>2013</v>
      </c>
      <c r="E2052" s="78"/>
      <c r="F2052" s="79"/>
      <c r="G2052" s="6">
        <v>3.1</v>
      </c>
      <c r="H2052" s="6">
        <v>1239</v>
      </c>
      <c r="I2052" s="5"/>
      <c r="J2052" s="5"/>
      <c r="K2052" s="5">
        <v>4.13</v>
      </c>
      <c r="L2052" s="5"/>
      <c r="M2052" s="5"/>
      <c r="N2052" s="64"/>
    </row>
    <row r="2053" spans="1:14" ht="12.75" customHeight="1">
      <c r="A2053" s="428"/>
      <c r="B2053" s="284"/>
      <c r="C2053" s="322"/>
      <c r="D2053" s="123">
        <v>2014</v>
      </c>
      <c r="E2053" s="78"/>
      <c r="F2053" s="79"/>
      <c r="G2053" s="6">
        <v>3.1</v>
      </c>
      <c r="H2053" s="6">
        <v>1239</v>
      </c>
      <c r="I2053" s="5"/>
      <c r="J2053" s="5"/>
      <c r="K2053" s="5">
        <v>4.13</v>
      </c>
      <c r="L2053" s="5"/>
      <c r="M2053" s="5"/>
      <c r="N2053" s="64"/>
    </row>
    <row r="2054" spans="1:14" ht="12.75" customHeight="1">
      <c r="A2054" s="428"/>
      <c r="B2054" s="284"/>
      <c r="C2054" s="322"/>
      <c r="D2054" s="123">
        <v>2015</v>
      </c>
      <c r="E2054" s="78"/>
      <c r="F2054" s="79"/>
      <c r="G2054" s="6">
        <v>3.1</v>
      </c>
      <c r="H2054" s="6">
        <v>1239</v>
      </c>
      <c r="I2054" s="5"/>
      <c r="J2054" s="5"/>
      <c r="K2054" s="5">
        <v>4.13</v>
      </c>
      <c r="L2054" s="5"/>
      <c r="M2054" s="5"/>
      <c r="N2054" s="64"/>
    </row>
    <row r="2055" spans="1:14" ht="22.5" customHeight="1">
      <c r="A2055" s="645" t="s">
        <v>335</v>
      </c>
      <c r="B2055" s="433" t="s">
        <v>59</v>
      </c>
      <c r="C2055" s="407" t="s">
        <v>60</v>
      </c>
      <c r="D2055" s="17" t="s">
        <v>146</v>
      </c>
      <c r="E2055" s="78">
        <f>E2056+E2057+E2058</f>
        <v>55440</v>
      </c>
      <c r="F2055" s="79">
        <v>3</v>
      </c>
      <c r="G2055" s="6">
        <f>G2056+G2057+G2058</f>
        <v>119.93256</v>
      </c>
      <c r="H2055" s="6">
        <f>H2056+H2057+H2058</f>
        <v>100422</v>
      </c>
      <c r="I2055" s="5"/>
      <c r="J2055" s="5"/>
      <c r="K2055" s="5">
        <f>K2056+K2057+K2058</f>
        <v>191.28</v>
      </c>
      <c r="L2055" s="5"/>
      <c r="M2055" s="5"/>
      <c r="N2055" s="64"/>
    </row>
    <row r="2056" spans="1:14" ht="12.75" customHeight="1">
      <c r="A2056" s="646"/>
      <c r="B2056" s="434"/>
      <c r="C2056" s="331"/>
      <c r="D2056" s="123">
        <v>2013</v>
      </c>
      <c r="E2056" s="78">
        <v>18480</v>
      </c>
      <c r="F2056" s="79">
        <v>3</v>
      </c>
      <c r="G2056" s="6">
        <f>K2056*0.627</f>
        <v>39.97752</v>
      </c>
      <c r="H2056" s="6">
        <v>4782</v>
      </c>
      <c r="I2056" s="5"/>
      <c r="J2056" s="5"/>
      <c r="K2056" s="5">
        <v>63.76</v>
      </c>
      <c r="L2056" s="5"/>
      <c r="M2056" s="5"/>
      <c r="N2056" s="64"/>
    </row>
    <row r="2057" spans="1:14" ht="12.75" customHeight="1">
      <c r="A2057" s="646"/>
      <c r="B2057" s="434"/>
      <c r="C2057" s="331"/>
      <c r="D2057" s="123">
        <v>2014</v>
      </c>
      <c r="E2057" s="78">
        <v>18480</v>
      </c>
      <c r="F2057" s="79">
        <v>3</v>
      </c>
      <c r="G2057" s="6">
        <f>K2057*0.627</f>
        <v>39.97752</v>
      </c>
      <c r="H2057" s="6">
        <v>47820</v>
      </c>
      <c r="I2057" s="5"/>
      <c r="J2057" s="5"/>
      <c r="K2057" s="5">
        <v>63.76</v>
      </c>
      <c r="L2057" s="5"/>
      <c r="M2057" s="5"/>
      <c r="N2057" s="64"/>
    </row>
    <row r="2058" spans="1:14" ht="12.75" customHeight="1">
      <c r="A2058" s="652"/>
      <c r="B2058" s="425"/>
      <c r="C2058" s="339"/>
      <c r="D2058" s="123">
        <v>2015</v>
      </c>
      <c r="E2058" s="78">
        <v>18480</v>
      </c>
      <c r="F2058" s="79">
        <v>3</v>
      </c>
      <c r="G2058" s="6">
        <f>K2058*0.627</f>
        <v>39.97752</v>
      </c>
      <c r="H2058" s="6">
        <v>47820</v>
      </c>
      <c r="I2058" s="5"/>
      <c r="J2058" s="5"/>
      <c r="K2058" s="5">
        <v>63.76</v>
      </c>
      <c r="L2058" s="5"/>
      <c r="M2058" s="5"/>
      <c r="N2058" s="64"/>
    </row>
    <row r="2059" spans="1:14" ht="21" customHeight="1">
      <c r="A2059" s="428">
        <v>158</v>
      </c>
      <c r="B2059" s="284" t="s">
        <v>369</v>
      </c>
      <c r="C2059" s="322" t="s">
        <v>274</v>
      </c>
      <c r="D2059" s="17" t="s">
        <v>120</v>
      </c>
      <c r="E2059" s="78">
        <v>35000</v>
      </c>
      <c r="F2059" s="79">
        <v>4</v>
      </c>
      <c r="G2059" s="6">
        <v>184.47</v>
      </c>
      <c r="H2059" s="6">
        <v>144220.38</v>
      </c>
      <c r="I2059" s="5"/>
      <c r="J2059" s="5"/>
      <c r="K2059" s="5">
        <v>266.711</v>
      </c>
      <c r="L2059" s="5">
        <v>35.6</v>
      </c>
      <c r="M2059" s="5"/>
      <c r="N2059" s="64"/>
    </row>
    <row r="2060" spans="1:14" ht="11.25" customHeight="1">
      <c r="A2060" s="428"/>
      <c r="B2060" s="284"/>
      <c r="C2060" s="322"/>
      <c r="D2060" s="123">
        <v>2011</v>
      </c>
      <c r="E2060" s="78">
        <v>12000</v>
      </c>
      <c r="F2060" s="79">
        <v>4</v>
      </c>
      <c r="G2060" s="6">
        <v>37.72</v>
      </c>
      <c r="H2060" s="6">
        <v>15689.02</v>
      </c>
      <c r="I2060" s="5"/>
      <c r="J2060" s="5"/>
      <c r="K2060" s="5">
        <v>50.129</v>
      </c>
      <c r="L2060" s="5">
        <v>0.352</v>
      </c>
      <c r="M2060" s="5"/>
      <c r="N2060" s="64"/>
    </row>
    <row r="2061" spans="1:14" ht="10.5" customHeight="1">
      <c r="A2061" s="428"/>
      <c r="B2061" s="284"/>
      <c r="C2061" s="322"/>
      <c r="D2061" s="123">
        <v>2012</v>
      </c>
      <c r="E2061" s="78">
        <v>23000</v>
      </c>
      <c r="F2061" s="79">
        <v>4</v>
      </c>
      <c r="G2061" s="6">
        <v>39.91</v>
      </c>
      <c r="H2061" s="6">
        <v>23052.3</v>
      </c>
      <c r="I2061" s="5"/>
      <c r="J2061" s="5"/>
      <c r="K2061" s="5">
        <v>53.055</v>
      </c>
      <c r="L2061" s="5">
        <v>0.352</v>
      </c>
      <c r="M2061" s="5"/>
      <c r="N2061" s="64"/>
    </row>
    <row r="2062" spans="1:14" ht="11.25" customHeight="1">
      <c r="A2062" s="428"/>
      <c r="B2062" s="284"/>
      <c r="C2062" s="322"/>
      <c r="D2062" s="123">
        <v>2013</v>
      </c>
      <c r="E2062" s="78"/>
      <c r="F2062" s="79"/>
      <c r="G2062" s="6">
        <v>30.28</v>
      </c>
      <c r="H2062" s="6">
        <v>34646.54</v>
      </c>
      <c r="I2062" s="5"/>
      <c r="J2062" s="5"/>
      <c r="K2062" s="5">
        <v>53.633</v>
      </c>
      <c r="L2062" s="5">
        <v>11.632</v>
      </c>
      <c r="M2062" s="5"/>
      <c r="N2062" s="64"/>
    </row>
    <row r="2063" spans="1:14" ht="11.25" customHeight="1">
      <c r="A2063" s="428"/>
      <c r="B2063" s="284"/>
      <c r="C2063" s="322"/>
      <c r="D2063" s="123">
        <v>2014</v>
      </c>
      <c r="E2063" s="78"/>
      <c r="F2063" s="79"/>
      <c r="G2063" s="6">
        <v>30.91</v>
      </c>
      <c r="H2063" s="6">
        <v>35133.17</v>
      </c>
      <c r="I2063" s="5"/>
      <c r="J2063" s="5"/>
      <c r="K2063" s="5">
        <v>54.467</v>
      </c>
      <c r="L2063" s="5">
        <v>11.632</v>
      </c>
      <c r="M2063" s="5"/>
      <c r="N2063" s="64"/>
    </row>
    <row r="2064" spans="1:14" ht="11.25" customHeight="1">
      <c r="A2064" s="428"/>
      <c r="B2064" s="284"/>
      <c r="C2064" s="322"/>
      <c r="D2064" s="123">
        <v>2015</v>
      </c>
      <c r="E2064" s="78"/>
      <c r="F2064" s="79"/>
      <c r="G2064" s="6">
        <v>45.65</v>
      </c>
      <c r="H2064" s="6">
        <v>35699.17</v>
      </c>
      <c r="I2064" s="5"/>
      <c r="J2064" s="5"/>
      <c r="K2064" s="5">
        <v>55.427</v>
      </c>
      <c r="L2064" s="5">
        <v>11.632</v>
      </c>
      <c r="M2064" s="5"/>
      <c r="N2064" s="64"/>
    </row>
    <row r="2065" spans="1:14" ht="11.25" customHeight="1">
      <c r="A2065" s="428">
        <v>159</v>
      </c>
      <c r="B2065" s="284" t="s">
        <v>347</v>
      </c>
      <c r="C2065" s="322" t="s">
        <v>25</v>
      </c>
      <c r="D2065" s="322" t="s">
        <v>120</v>
      </c>
      <c r="E2065" s="78">
        <f>E2068+E2071+E2072+E2073+E2074</f>
        <v>14103.400000000001</v>
      </c>
      <c r="F2065" s="79">
        <v>3</v>
      </c>
      <c r="G2065" s="337">
        <f>SUM(G2068:G2074)</f>
        <v>7.589999999999999</v>
      </c>
      <c r="H2065" s="337">
        <f>SUM(H2068:H2074)</f>
        <v>17631.549999999996</v>
      </c>
      <c r="I2065" s="329">
        <f>SUM(I2068:I2074)</f>
        <v>6.513999999999999</v>
      </c>
      <c r="J2065" s="329">
        <f>SUM(J2068:J2074)</f>
        <v>0.194</v>
      </c>
      <c r="K2065" s="329"/>
      <c r="L2065" s="329"/>
      <c r="M2065" s="329"/>
      <c r="N2065" s="442"/>
    </row>
    <row r="2066" spans="1:14" ht="11.25" customHeight="1">
      <c r="A2066" s="428"/>
      <c r="B2066" s="284"/>
      <c r="C2066" s="322"/>
      <c r="D2066" s="428"/>
      <c r="E2066" s="78">
        <v>50000</v>
      </c>
      <c r="F2066" s="79">
        <v>4</v>
      </c>
      <c r="G2066" s="337"/>
      <c r="H2066" s="337"/>
      <c r="I2066" s="329"/>
      <c r="J2066" s="329"/>
      <c r="K2066" s="329"/>
      <c r="L2066" s="329"/>
      <c r="M2066" s="329"/>
      <c r="N2066" s="442"/>
    </row>
    <row r="2067" spans="1:14" ht="11.25" customHeight="1">
      <c r="A2067" s="428"/>
      <c r="B2067" s="284"/>
      <c r="C2067" s="322"/>
      <c r="D2067" s="428"/>
      <c r="E2067" s="78">
        <v>64105.4</v>
      </c>
      <c r="F2067" s="79">
        <v>5</v>
      </c>
      <c r="G2067" s="337"/>
      <c r="H2067" s="337"/>
      <c r="I2067" s="329"/>
      <c r="J2067" s="329"/>
      <c r="K2067" s="329"/>
      <c r="L2067" s="329"/>
      <c r="M2067" s="329"/>
      <c r="N2067" s="442"/>
    </row>
    <row r="2068" spans="1:14" ht="11.25" customHeight="1">
      <c r="A2068" s="428"/>
      <c r="B2068" s="284"/>
      <c r="C2068" s="322"/>
      <c r="D2068" s="428">
        <v>2011</v>
      </c>
      <c r="E2068" s="78">
        <v>2108</v>
      </c>
      <c r="F2068" s="79">
        <v>3</v>
      </c>
      <c r="G2068" s="337">
        <v>7.55</v>
      </c>
      <c r="H2068" s="337">
        <v>16477.11</v>
      </c>
      <c r="I2068" s="329">
        <v>6.502</v>
      </c>
      <c r="J2068" s="329">
        <v>0.032</v>
      </c>
      <c r="K2068" s="329"/>
      <c r="L2068" s="329"/>
      <c r="M2068" s="329"/>
      <c r="N2068" s="442"/>
    </row>
    <row r="2069" spans="1:14" ht="10.5" customHeight="1">
      <c r="A2069" s="428"/>
      <c r="B2069" s="284"/>
      <c r="C2069" s="322"/>
      <c r="D2069" s="428"/>
      <c r="E2069" s="78">
        <v>50000</v>
      </c>
      <c r="F2069" s="79">
        <v>4</v>
      </c>
      <c r="G2069" s="337"/>
      <c r="H2069" s="337"/>
      <c r="I2069" s="329"/>
      <c r="J2069" s="329"/>
      <c r="K2069" s="329"/>
      <c r="L2069" s="329"/>
      <c r="M2069" s="329"/>
      <c r="N2069" s="442"/>
    </row>
    <row r="2070" spans="1:14" ht="11.25" customHeight="1">
      <c r="A2070" s="428"/>
      <c r="B2070" s="284"/>
      <c r="C2070" s="322"/>
      <c r="D2070" s="428"/>
      <c r="E2070" s="78">
        <v>52108</v>
      </c>
      <c r="F2070" s="79">
        <v>5</v>
      </c>
      <c r="G2070" s="337"/>
      <c r="H2070" s="337"/>
      <c r="I2070" s="329"/>
      <c r="J2070" s="329"/>
      <c r="K2070" s="329"/>
      <c r="L2070" s="329"/>
      <c r="M2070" s="329"/>
      <c r="N2070" s="442"/>
    </row>
    <row r="2071" spans="1:14" ht="10.5" customHeight="1">
      <c r="A2071" s="428"/>
      <c r="B2071" s="284"/>
      <c r="C2071" s="322"/>
      <c r="D2071" s="123">
        <v>2012</v>
      </c>
      <c r="E2071" s="78">
        <v>2210</v>
      </c>
      <c r="F2071" s="79">
        <v>3</v>
      </c>
      <c r="G2071" s="6">
        <v>0.01</v>
      </c>
      <c r="H2071" s="6">
        <v>271.26</v>
      </c>
      <c r="I2071" s="5">
        <v>0.003</v>
      </c>
      <c r="J2071" s="5">
        <v>0.038</v>
      </c>
      <c r="K2071" s="5"/>
      <c r="L2071" s="5"/>
      <c r="M2071" s="5"/>
      <c r="N2071" s="64"/>
    </row>
    <row r="2072" spans="1:14" ht="11.25" customHeight="1">
      <c r="A2072" s="428"/>
      <c r="B2072" s="284"/>
      <c r="C2072" s="322"/>
      <c r="D2072" s="123">
        <v>2013</v>
      </c>
      <c r="E2072" s="78">
        <v>2210</v>
      </c>
      <c r="F2072" s="79">
        <v>3</v>
      </c>
      <c r="G2072" s="6">
        <v>0.01</v>
      </c>
      <c r="H2072" s="6">
        <v>273.76</v>
      </c>
      <c r="I2072" s="5">
        <v>0.004</v>
      </c>
      <c r="J2072" s="5">
        <v>0.038</v>
      </c>
      <c r="K2072" s="5"/>
      <c r="L2072" s="5"/>
      <c r="M2072" s="5"/>
      <c r="N2072" s="64"/>
    </row>
    <row r="2073" spans="1:14" ht="11.25" customHeight="1">
      <c r="A2073" s="428"/>
      <c r="B2073" s="284"/>
      <c r="C2073" s="322"/>
      <c r="D2073" s="123">
        <v>2014</v>
      </c>
      <c r="E2073" s="78">
        <v>3794.7</v>
      </c>
      <c r="F2073" s="79">
        <v>3</v>
      </c>
      <c r="G2073" s="6">
        <v>0.01</v>
      </c>
      <c r="H2073" s="6">
        <v>310.96</v>
      </c>
      <c r="I2073" s="5">
        <v>0.005</v>
      </c>
      <c r="J2073" s="5">
        <v>0.043</v>
      </c>
      <c r="K2073" s="5"/>
      <c r="L2073" s="5"/>
      <c r="M2073" s="5"/>
      <c r="N2073" s="64"/>
    </row>
    <row r="2074" spans="1:14" ht="11.25" customHeight="1">
      <c r="A2074" s="428"/>
      <c r="B2074" s="284"/>
      <c r="C2074" s="322"/>
      <c r="D2074" s="123">
        <v>2015</v>
      </c>
      <c r="E2074" s="78">
        <v>3780.7</v>
      </c>
      <c r="F2074" s="79">
        <v>3</v>
      </c>
      <c r="G2074" s="6">
        <v>0.01</v>
      </c>
      <c r="H2074" s="6">
        <v>298.46</v>
      </c>
      <c r="I2074" s="5"/>
      <c r="J2074" s="5">
        <v>0.043</v>
      </c>
      <c r="K2074" s="5"/>
      <c r="L2074" s="5"/>
      <c r="M2074" s="5"/>
      <c r="N2074" s="64"/>
    </row>
    <row r="2075" spans="1:14" ht="10.5" customHeight="1">
      <c r="A2075" s="290">
        <v>160</v>
      </c>
      <c r="B2075" s="299" t="s">
        <v>478</v>
      </c>
      <c r="C2075" s="293" t="s">
        <v>265</v>
      </c>
      <c r="D2075" s="368" t="s">
        <v>120</v>
      </c>
      <c r="E2075" s="214">
        <f>E2079+E2082+E2085+E2089+E2092</f>
        <v>3105.62</v>
      </c>
      <c r="F2075" s="215">
        <v>1</v>
      </c>
      <c r="G2075" s="359">
        <f>SUM(G2079:G2094)</f>
        <v>1.15</v>
      </c>
      <c r="H2075" s="359">
        <f>SUM(H2079:H2094)</f>
        <v>1922.6900000000003</v>
      </c>
      <c r="I2075" s="596"/>
      <c r="J2075" s="330"/>
      <c r="K2075" s="330"/>
      <c r="L2075" s="591">
        <f>SUM(L2079:L2094)</f>
        <v>1.4799999999999998</v>
      </c>
      <c r="M2075" s="330">
        <f>SUM(M2079:M2094)</f>
        <v>2.409</v>
      </c>
      <c r="N2075" s="340"/>
    </row>
    <row r="2076" spans="1:14" ht="10.5" customHeight="1">
      <c r="A2076" s="291"/>
      <c r="B2076" s="299"/>
      <c r="C2076" s="357"/>
      <c r="D2076" s="368"/>
      <c r="E2076" s="214">
        <f>E2080+E2083+E2086+E2090+E2093</f>
        <v>2402.1800000000003</v>
      </c>
      <c r="F2076" s="215">
        <v>2</v>
      </c>
      <c r="G2076" s="359"/>
      <c r="H2076" s="359"/>
      <c r="I2076" s="596"/>
      <c r="J2076" s="330"/>
      <c r="K2076" s="330"/>
      <c r="L2076" s="591"/>
      <c r="M2076" s="330"/>
      <c r="N2076" s="340"/>
    </row>
    <row r="2077" spans="1:14" ht="9.75" customHeight="1">
      <c r="A2077" s="291"/>
      <c r="B2077" s="299"/>
      <c r="C2077" s="357"/>
      <c r="D2077" s="368"/>
      <c r="E2077" s="214">
        <f>E2087</f>
        <v>400</v>
      </c>
      <c r="F2077" s="215">
        <v>4</v>
      </c>
      <c r="G2077" s="359"/>
      <c r="H2077" s="359"/>
      <c r="I2077" s="596"/>
      <c r="J2077" s="330"/>
      <c r="K2077" s="330"/>
      <c r="L2077" s="591"/>
      <c r="M2077" s="330"/>
      <c r="N2077" s="340"/>
    </row>
    <row r="2078" spans="1:14" ht="9.75" customHeight="1">
      <c r="A2078" s="291"/>
      <c r="B2078" s="299"/>
      <c r="C2078" s="357"/>
      <c r="D2078" s="368"/>
      <c r="E2078" s="214">
        <f>SUM(E2075:E2077)</f>
        <v>5907.8</v>
      </c>
      <c r="F2078" s="215">
        <v>5</v>
      </c>
      <c r="G2078" s="359"/>
      <c r="H2078" s="359"/>
      <c r="I2078" s="596"/>
      <c r="J2078" s="330"/>
      <c r="K2078" s="330"/>
      <c r="L2078" s="591"/>
      <c r="M2078" s="330"/>
      <c r="N2078" s="340"/>
    </row>
    <row r="2079" spans="1:14" ht="11.25" customHeight="1">
      <c r="A2079" s="291"/>
      <c r="B2079" s="299"/>
      <c r="C2079" s="357"/>
      <c r="D2079" s="368">
        <v>2011</v>
      </c>
      <c r="E2079" s="214">
        <f>33.12+8.5+295</f>
        <v>336.62</v>
      </c>
      <c r="F2079" s="215">
        <v>1</v>
      </c>
      <c r="G2079" s="359">
        <v>0.15</v>
      </c>
      <c r="H2079" s="359">
        <v>224.28</v>
      </c>
      <c r="I2079" s="596"/>
      <c r="J2079" s="330"/>
      <c r="K2079" s="330"/>
      <c r="L2079" s="591">
        <v>0.127</v>
      </c>
      <c r="M2079" s="330">
        <v>0.192</v>
      </c>
      <c r="N2079" s="340"/>
    </row>
    <row r="2080" spans="1:14" ht="9" customHeight="1">
      <c r="A2080" s="291"/>
      <c r="B2080" s="299"/>
      <c r="C2080" s="357"/>
      <c r="D2080" s="368"/>
      <c r="E2080" s="214">
        <f>300+3.68+76.5+78+33+40+45</f>
        <v>576.1800000000001</v>
      </c>
      <c r="F2080" s="215">
        <v>2</v>
      </c>
      <c r="G2080" s="359"/>
      <c r="H2080" s="359"/>
      <c r="I2080" s="596"/>
      <c r="J2080" s="330"/>
      <c r="K2080" s="330"/>
      <c r="L2080" s="591"/>
      <c r="M2080" s="330"/>
      <c r="N2080" s="340"/>
    </row>
    <row r="2081" spans="1:14" ht="9.75" customHeight="1">
      <c r="A2081" s="291"/>
      <c r="B2081" s="299"/>
      <c r="C2081" s="357"/>
      <c r="D2081" s="368"/>
      <c r="E2081" s="214">
        <f>SUM(E2079:E2080)</f>
        <v>912.8000000000001</v>
      </c>
      <c r="F2081" s="215">
        <v>5</v>
      </c>
      <c r="G2081" s="359"/>
      <c r="H2081" s="359"/>
      <c r="I2081" s="596"/>
      <c r="J2081" s="330"/>
      <c r="K2081" s="330"/>
      <c r="L2081" s="591"/>
      <c r="M2081" s="330"/>
      <c r="N2081" s="340"/>
    </row>
    <row r="2082" spans="1:14" ht="10.5" customHeight="1">
      <c r="A2082" s="291"/>
      <c r="B2082" s="299"/>
      <c r="C2082" s="357"/>
      <c r="D2082" s="368">
        <v>2012</v>
      </c>
      <c r="E2082" s="214">
        <f>108+153</f>
        <v>261</v>
      </c>
      <c r="F2082" s="215">
        <v>1</v>
      </c>
      <c r="G2082" s="359">
        <v>0.11</v>
      </c>
      <c r="H2082" s="359">
        <v>58.61</v>
      </c>
      <c r="I2082" s="596"/>
      <c r="J2082" s="330"/>
      <c r="K2082" s="330"/>
      <c r="L2082" s="591">
        <v>0.082</v>
      </c>
      <c r="M2082" s="330">
        <v>0.106</v>
      </c>
      <c r="N2082" s="340"/>
    </row>
    <row r="2083" spans="1:14" ht="10.5" customHeight="1">
      <c r="A2083" s="291"/>
      <c r="B2083" s="299"/>
      <c r="C2083" s="357"/>
      <c r="D2083" s="368"/>
      <c r="E2083" s="214">
        <f>300+12+100+17+40+45</f>
        <v>514</v>
      </c>
      <c r="F2083" s="215">
        <v>2</v>
      </c>
      <c r="G2083" s="359"/>
      <c r="H2083" s="359"/>
      <c r="I2083" s="596"/>
      <c r="J2083" s="330"/>
      <c r="K2083" s="330"/>
      <c r="L2083" s="591"/>
      <c r="M2083" s="330"/>
      <c r="N2083" s="340"/>
    </row>
    <row r="2084" spans="1:14" ht="10.5" customHeight="1">
      <c r="A2084" s="291"/>
      <c r="B2084" s="299"/>
      <c r="C2084" s="357"/>
      <c r="D2084" s="368"/>
      <c r="E2084" s="214">
        <f>SUM(E2082:E2083)</f>
        <v>775</v>
      </c>
      <c r="F2084" s="215">
        <v>5</v>
      </c>
      <c r="G2084" s="359"/>
      <c r="H2084" s="359"/>
      <c r="I2084" s="596"/>
      <c r="J2084" s="330"/>
      <c r="K2084" s="330"/>
      <c r="L2084" s="591"/>
      <c r="M2084" s="330"/>
      <c r="N2084" s="340"/>
    </row>
    <row r="2085" spans="1:14" ht="10.5" customHeight="1">
      <c r="A2085" s="291"/>
      <c r="B2085" s="299"/>
      <c r="C2085" s="357"/>
      <c r="D2085" s="368">
        <v>2013</v>
      </c>
      <c r="E2085" s="214">
        <f>882+281+85</f>
        <v>1248</v>
      </c>
      <c r="F2085" s="215">
        <v>1</v>
      </c>
      <c r="G2085" s="359">
        <f>0.6+0.01</f>
        <v>0.61</v>
      </c>
      <c r="H2085" s="359">
        <f>1540.98+3.2</f>
        <v>1544.18</v>
      </c>
      <c r="I2085" s="596"/>
      <c r="J2085" s="330"/>
      <c r="K2085" s="330"/>
      <c r="L2085" s="591">
        <f>1.14+0.003</f>
        <v>1.1429999999999998</v>
      </c>
      <c r="M2085" s="330">
        <v>1.248</v>
      </c>
      <c r="N2085" s="340"/>
    </row>
    <row r="2086" spans="1:14" ht="10.5" customHeight="1">
      <c r="A2086" s="291"/>
      <c r="B2086" s="299"/>
      <c r="C2086" s="357"/>
      <c r="D2086" s="368"/>
      <c r="E2086" s="214">
        <f>300+98+31+45+78</f>
        <v>552</v>
      </c>
      <c r="F2086" s="215">
        <v>2</v>
      </c>
      <c r="G2086" s="359"/>
      <c r="H2086" s="359"/>
      <c r="I2086" s="596"/>
      <c r="J2086" s="330"/>
      <c r="K2086" s="330"/>
      <c r="L2086" s="591"/>
      <c r="M2086" s="330"/>
      <c r="N2086" s="340"/>
    </row>
    <row r="2087" spans="1:14" ht="10.5" customHeight="1">
      <c r="A2087" s="291"/>
      <c r="B2087" s="299"/>
      <c r="C2087" s="357"/>
      <c r="D2087" s="368"/>
      <c r="E2087" s="214">
        <v>400</v>
      </c>
      <c r="F2087" s="215">
        <v>4</v>
      </c>
      <c r="G2087" s="359"/>
      <c r="H2087" s="359"/>
      <c r="I2087" s="596"/>
      <c r="J2087" s="330"/>
      <c r="K2087" s="330"/>
      <c r="L2087" s="591"/>
      <c r="M2087" s="330"/>
      <c r="N2087" s="340"/>
    </row>
    <row r="2088" spans="1:14" ht="10.5" customHeight="1">
      <c r="A2088" s="291"/>
      <c r="B2088" s="299"/>
      <c r="C2088" s="357"/>
      <c r="D2088" s="368"/>
      <c r="E2088" s="214">
        <f>SUM(E2085:E2087)</f>
        <v>2200</v>
      </c>
      <c r="F2088" s="215">
        <v>5</v>
      </c>
      <c r="G2088" s="359"/>
      <c r="H2088" s="359"/>
      <c r="I2088" s="596"/>
      <c r="J2088" s="330"/>
      <c r="K2088" s="330"/>
      <c r="L2088" s="591"/>
      <c r="M2088" s="330"/>
      <c r="N2088" s="340"/>
    </row>
    <row r="2089" spans="1:14" ht="10.5" customHeight="1">
      <c r="A2089" s="291"/>
      <c r="B2089" s="299"/>
      <c r="C2089" s="357"/>
      <c r="D2089" s="368">
        <v>2014</v>
      </c>
      <c r="E2089" s="214">
        <f>504</f>
        <v>504</v>
      </c>
      <c r="F2089" s="215">
        <v>1</v>
      </c>
      <c r="G2089" s="359">
        <v>0.14</v>
      </c>
      <c r="H2089" s="359">
        <v>51.41</v>
      </c>
      <c r="I2089" s="596"/>
      <c r="J2089" s="330"/>
      <c r="K2089" s="330"/>
      <c r="L2089" s="591">
        <v>0.069</v>
      </c>
      <c r="M2089" s="330">
        <v>0.362</v>
      </c>
      <c r="N2089" s="340"/>
    </row>
    <row r="2090" spans="1:14" ht="9.75" customHeight="1">
      <c r="A2090" s="291"/>
      <c r="B2090" s="299"/>
      <c r="C2090" s="357"/>
      <c r="D2090" s="368"/>
      <c r="E2090" s="214">
        <f>250+56+40+45</f>
        <v>391</v>
      </c>
      <c r="F2090" s="215">
        <v>2</v>
      </c>
      <c r="G2090" s="359"/>
      <c r="H2090" s="359"/>
      <c r="I2090" s="596"/>
      <c r="J2090" s="330"/>
      <c r="K2090" s="330"/>
      <c r="L2090" s="591"/>
      <c r="M2090" s="330"/>
      <c r="N2090" s="340"/>
    </row>
    <row r="2091" spans="1:14" ht="10.5" customHeight="1">
      <c r="A2091" s="291"/>
      <c r="B2091" s="299"/>
      <c r="C2091" s="357"/>
      <c r="D2091" s="368"/>
      <c r="E2091" s="214">
        <f>SUM(E2089:E2090)</f>
        <v>895</v>
      </c>
      <c r="F2091" s="215">
        <v>5</v>
      </c>
      <c r="G2091" s="359"/>
      <c r="H2091" s="359"/>
      <c r="I2091" s="596"/>
      <c r="J2091" s="330"/>
      <c r="K2091" s="330"/>
      <c r="L2091" s="591"/>
      <c r="M2091" s="330"/>
      <c r="N2091" s="340"/>
    </row>
    <row r="2092" spans="1:14" ht="9.75" customHeight="1">
      <c r="A2092" s="291"/>
      <c r="B2092" s="299"/>
      <c r="C2092" s="357"/>
      <c r="D2092" s="368">
        <v>2015</v>
      </c>
      <c r="E2092" s="214">
        <f>756</f>
        <v>756</v>
      </c>
      <c r="F2092" s="215">
        <v>1</v>
      </c>
      <c r="G2092" s="359">
        <v>0.14</v>
      </c>
      <c r="H2092" s="359">
        <v>44.21</v>
      </c>
      <c r="I2092" s="596"/>
      <c r="J2092" s="330"/>
      <c r="K2092" s="330"/>
      <c r="L2092" s="591">
        <v>0.059</v>
      </c>
      <c r="M2092" s="330">
        <v>0.501</v>
      </c>
      <c r="N2092" s="340"/>
    </row>
    <row r="2093" spans="1:14" ht="10.5" customHeight="1">
      <c r="A2093" s="291"/>
      <c r="B2093" s="299"/>
      <c r="C2093" s="357"/>
      <c r="D2093" s="368"/>
      <c r="E2093" s="214">
        <f>200+84+40+45</f>
        <v>369</v>
      </c>
      <c r="F2093" s="215">
        <v>2</v>
      </c>
      <c r="G2093" s="359"/>
      <c r="H2093" s="359"/>
      <c r="I2093" s="596"/>
      <c r="J2093" s="330"/>
      <c r="K2093" s="330"/>
      <c r="L2093" s="591"/>
      <c r="M2093" s="330"/>
      <c r="N2093" s="340"/>
    </row>
    <row r="2094" spans="1:14" ht="9.75" customHeight="1">
      <c r="A2094" s="291"/>
      <c r="B2094" s="299"/>
      <c r="C2094" s="358"/>
      <c r="D2094" s="368"/>
      <c r="E2094" s="214">
        <f>SUM(E2092:E2093)</f>
        <v>1125</v>
      </c>
      <c r="F2094" s="215">
        <v>5</v>
      </c>
      <c r="G2094" s="359"/>
      <c r="H2094" s="359"/>
      <c r="I2094" s="596"/>
      <c r="J2094" s="330"/>
      <c r="K2094" s="330"/>
      <c r="L2094" s="591"/>
      <c r="M2094" s="330"/>
      <c r="N2094" s="340"/>
    </row>
    <row r="2095" spans="1:14" ht="11.25" customHeight="1">
      <c r="A2095" s="291"/>
      <c r="B2095" s="352" t="s">
        <v>266</v>
      </c>
      <c r="C2095" s="293"/>
      <c r="D2095" s="293" t="s">
        <v>120</v>
      </c>
      <c r="E2095" s="214">
        <v>72</v>
      </c>
      <c r="F2095" s="215">
        <v>2</v>
      </c>
      <c r="G2095" s="214">
        <v>0.15</v>
      </c>
      <c r="H2095" s="214">
        <v>100.24</v>
      </c>
      <c r="I2095" s="233"/>
      <c r="J2095" s="215"/>
      <c r="K2095" s="214">
        <v>0.2</v>
      </c>
      <c r="L2095" s="234"/>
      <c r="M2095" s="215"/>
      <c r="N2095" s="53"/>
    </row>
    <row r="2096" spans="1:14" ht="11.25" customHeight="1">
      <c r="A2096" s="291"/>
      <c r="B2096" s="316"/>
      <c r="C2096" s="357"/>
      <c r="D2096" s="358"/>
      <c r="E2096" s="214">
        <v>288</v>
      </c>
      <c r="F2096" s="215" t="s">
        <v>258</v>
      </c>
      <c r="G2096" s="214">
        <v>0.6</v>
      </c>
      <c r="H2096" s="214">
        <v>400.89</v>
      </c>
      <c r="I2096" s="233"/>
      <c r="J2096" s="215"/>
      <c r="K2096" s="214">
        <v>0.8</v>
      </c>
      <c r="L2096" s="234"/>
      <c r="M2096" s="215"/>
      <c r="N2096" s="53"/>
    </row>
    <row r="2097" spans="1:14" ht="10.5" customHeight="1">
      <c r="A2097" s="291"/>
      <c r="B2097" s="316"/>
      <c r="C2097" s="357"/>
      <c r="D2097" s="213">
        <v>2011</v>
      </c>
      <c r="E2097" s="214">
        <v>72</v>
      </c>
      <c r="F2097" s="215">
        <v>2</v>
      </c>
      <c r="G2097" s="214">
        <v>0.15</v>
      </c>
      <c r="H2097" s="214">
        <v>100.24</v>
      </c>
      <c r="I2097" s="233"/>
      <c r="J2097" s="215"/>
      <c r="K2097" s="215">
        <v>0.2</v>
      </c>
      <c r="L2097" s="234"/>
      <c r="M2097" s="215"/>
      <c r="N2097" s="53"/>
    </row>
    <row r="2098" spans="1:14" ht="11.25" customHeight="1">
      <c r="A2098" s="291"/>
      <c r="B2098" s="316"/>
      <c r="C2098" s="357"/>
      <c r="D2098" s="213">
        <v>2012</v>
      </c>
      <c r="E2098" s="214">
        <v>72</v>
      </c>
      <c r="F2098" s="215" t="s">
        <v>258</v>
      </c>
      <c r="G2098" s="214">
        <v>0.15</v>
      </c>
      <c r="H2098" s="214">
        <v>100.24</v>
      </c>
      <c r="I2098" s="233"/>
      <c r="J2098" s="215"/>
      <c r="K2098" s="215">
        <v>0.2</v>
      </c>
      <c r="L2098" s="234"/>
      <c r="M2098" s="215"/>
      <c r="N2098" s="53"/>
    </row>
    <row r="2099" spans="1:14" ht="12.75" customHeight="1">
      <c r="A2099" s="291"/>
      <c r="B2099" s="316"/>
      <c r="C2099" s="357"/>
      <c r="D2099" s="213">
        <v>2013</v>
      </c>
      <c r="E2099" s="214">
        <v>72</v>
      </c>
      <c r="F2099" s="215" t="s">
        <v>258</v>
      </c>
      <c r="G2099" s="214">
        <v>0.15</v>
      </c>
      <c r="H2099" s="214">
        <v>100.21</v>
      </c>
      <c r="I2099" s="233"/>
      <c r="J2099" s="215"/>
      <c r="K2099" s="215">
        <v>0.2</v>
      </c>
      <c r="L2099" s="234"/>
      <c r="M2099" s="215"/>
      <c r="N2099" s="53"/>
    </row>
    <row r="2100" spans="1:14" ht="11.25" customHeight="1">
      <c r="A2100" s="291"/>
      <c r="B2100" s="316"/>
      <c r="C2100" s="357"/>
      <c r="D2100" s="213">
        <v>2014</v>
      </c>
      <c r="E2100" s="214">
        <v>72</v>
      </c>
      <c r="F2100" s="215" t="s">
        <v>258</v>
      </c>
      <c r="G2100" s="214">
        <v>0.15</v>
      </c>
      <c r="H2100" s="214">
        <v>100.2</v>
      </c>
      <c r="I2100" s="233"/>
      <c r="J2100" s="215"/>
      <c r="K2100" s="215">
        <v>0.2</v>
      </c>
      <c r="L2100" s="234"/>
      <c r="M2100" s="215"/>
      <c r="N2100" s="53"/>
    </row>
    <row r="2101" spans="1:14" ht="10.5" customHeight="1">
      <c r="A2101" s="292"/>
      <c r="B2101" s="317"/>
      <c r="C2101" s="358"/>
      <c r="D2101" s="213">
        <v>2015</v>
      </c>
      <c r="E2101" s="214">
        <v>72</v>
      </c>
      <c r="F2101" s="215" t="s">
        <v>258</v>
      </c>
      <c r="G2101" s="214">
        <v>0.15</v>
      </c>
      <c r="H2101" s="214">
        <v>100.24</v>
      </c>
      <c r="I2101" s="233"/>
      <c r="J2101" s="215"/>
      <c r="K2101" s="215">
        <v>0.2</v>
      </c>
      <c r="L2101" s="234"/>
      <c r="M2101" s="215"/>
      <c r="N2101" s="53"/>
    </row>
    <row r="2102" spans="1:14" ht="12" customHeight="1">
      <c r="A2102" s="231">
        <v>161</v>
      </c>
      <c r="B2102" s="352" t="s">
        <v>26</v>
      </c>
      <c r="C2102" s="232" t="s">
        <v>265</v>
      </c>
      <c r="D2102" s="293" t="s">
        <v>120</v>
      </c>
      <c r="E2102" s="214">
        <f>E2111+E2122</f>
        <v>9479</v>
      </c>
      <c r="F2102" s="215">
        <v>1</v>
      </c>
      <c r="G2102" s="590">
        <f>G2107+G2111+G2122+G2127+G2131</f>
        <v>11.6</v>
      </c>
      <c r="H2102" s="592">
        <f>H2107+H2111+H2122+H2127+H2131</f>
        <v>49000</v>
      </c>
      <c r="I2102" s="592">
        <f>I2107+I2111+I2122+I2127+I2131</f>
        <v>10</v>
      </c>
      <c r="J2102" s="597"/>
      <c r="K2102" s="597"/>
      <c r="L2102" s="590">
        <f>L2111</f>
        <v>0.066</v>
      </c>
      <c r="M2102" s="597"/>
      <c r="N2102" s="597"/>
    </row>
    <row r="2103" spans="1:14" ht="11.25" customHeight="1">
      <c r="A2103" s="38"/>
      <c r="B2103" s="353"/>
      <c r="C2103" s="74"/>
      <c r="D2103" s="408"/>
      <c r="E2103" s="214">
        <f>E2107+E2112+E2123+E2127+E2131</f>
        <v>1844.95</v>
      </c>
      <c r="F2103" s="215">
        <v>2</v>
      </c>
      <c r="G2103" s="415"/>
      <c r="H2103" s="415"/>
      <c r="I2103" s="415"/>
      <c r="J2103" s="415"/>
      <c r="K2103" s="415"/>
      <c r="L2103" s="415"/>
      <c r="M2103" s="415"/>
      <c r="N2103" s="415"/>
    </row>
    <row r="2104" spans="1:14" ht="13.5" customHeight="1">
      <c r="A2104" s="38"/>
      <c r="B2104" s="353"/>
      <c r="C2104" s="74"/>
      <c r="D2104" s="408"/>
      <c r="E2104" s="214">
        <f>E2108+E2113+E2124+E2128+E2132</f>
        <v>500</v>
      </c>
      <c r="F2104" s="215">
        <v>3</v>
      </c>
      <c r="G2104" s="415"/>
      <c r="H2104" s="415"/>
      <c r="I2104" s="415"/>
      <c r="J2104" s="415"/>
      <c r="K2104" s="415"/>
      <c r="L2104" s="415"/>
      <c r="M2104" s="415"/>
      <c r="N2104" s="415"/>
    </row>
    <row r="2105" spans="1:14" ht="13.5" customHeight="1">
      <c r="A2105" s="38"/>
      <c r="B2105" s="353"/>
      <c r="C2105" s="74"/>
      <c r="D2105" s="408"/>
      <c r="E2105" s="214">
        <f>E2109+E2114+E2125+E2129+E2133</f>
        <v>3500</v>
      </c>
      <c r="F2105" s="215">
        <v>4</v>
      </c>
      <c r="G2105" s="415"/>
      <c r="H2105" s="415"/>
      <c r="I2105" s="415"/>
      <c r="J2105" s="415"/>
      <c r="K2105" s="415"/>
      <c r="L2105" s="415"/>
      <c r="M2105" s="415"/>
      <c r="N2105" s="415"/>
    </row>
    <row r="2106" spans="1:14" ht="13.5" customHeight="1">
      <c r="A2106" s="38"/>
      <c r="B2106" s="353"/>
      <c r="C2106" s="75"/>
      <c r="D2106" s="409"/>
      <c r="E2106" s="214">
        <f>E2103+E2104+E2105+E2102</f>
        <v>15323.95</v>
      </c>
      <c r="F2106" s="215">
        <v>5</v>
      </c>
      <c r="G2106" s="416"/>
      <c r="H2106" s="416"/>
      <c r="I2106" s="416"/>
      <c r="J2106" s="416"/>
      <c r="K2106" s="416"/>
      <c r="L2106" s="416"/>
      <c r="M2106" s="416"/>
      <c r="N2106" s="416"/>
    </row>
    <row r="2107" spans="1:14" ht="13.5" customHeight="1">
      <c r="A2107" s="242"/>
      <c r="B2107" s="173"/>
      <c r="C2107" s="650" t="s">
        <v>348</v>
      </c>
      <c r="D2107" s="368">
        <v>2011</v>
      </c>
      <c r="E2107" s="214">
        <v>200</v>
      </c>
      <c r="F2107" s="215">
        <v>2</v>
      </c>
      <c r="G2107" s="591">
        <v>2.32</v>
      </c>
      <c r="H2107" s="359">
        <v>9800</v>
      </c>
      <c r="I2107" s="359">
        <v>2</v>
      </c>
      <c r="J2107" s="330"/>
      <c r="K2107" s="330"/>
      <c r="L2107" s="591"/>
      <c r="M2107" s="330"/>
      <c r="N2107" s="340"/>
    </row>
    <row r="2108" spans="1:14" ht="13.5" customHeight="1">
      <c r="A2108" s="194"/>
      <c r="B2108" s="39"/>
      <c r="C2108" s="650"/>
      <c r="D2108" s="368"/>
      <c r="E2108" s="214">
        <v>100</v>
      </c>
      <c r="F2108" s="215">
        <v>3</v>
      </c>
      <c r="G2108" s="591"/>
      <c r="H2108" s="359"/>
      <c r="I2108" s="359"/>
      <c r="J2108" s="330"/>
      <c r="K2108" s="330"/>
      <c r="L2108" s="591"/>
      <c r="M2108" s="330"/>
      <c r="N2108" s="340"/>
    </row>
    <row r="2109" spans="1:14" ht="13.5" customHeight="1">
      <c r="A2109" s="194"/>
      <c r="B2109" s="39"/>
      <c r="C2109" s="650"/>
      <c r="D2109" s="368"/>
      <c r="E2109" s="214">
        <v>700</v>
      </c>
      <c r="F2109" s="215">
        <v>4</v>
      </c>
      <c r="G2109" s="591"/>
      <c r="H2109" s="359"/>
      <c r="I2109" s="359"/>
      <c r="J2109" s="330"/>
      <c r="K2109" s="330"/>
      <c r="L2109" s="591"/>
      <c r="M2109" s="330"/>
      <c r="N2109" s="340"/>
    </row>
    <row r="2110" spans="1:14" ht="12.75" customHeight="1">
      <c r="A2110" s="194"/>
      <c r="B2110" s="39"/>
      <c r="C2110" s="651"/>
      <c r="D2110" s="293"/>
      <c r="E2110" s="214">
        <f>SUM(E2107:E2109)</f>
        <v>1000</v>
      </c>
      <c r="F2110" s="215">
        <v>5</v>
      </c>
      <c r="G2110" s="591"/>
      <c r="H2110" s="359"/>
      <c r="I2110" s="359"/>
      <c r="J2110" s="330"/>
      <c r="K2110" s="330"/>
      <c r="L2110" s="591"/>
      <c r="M2110" s="330"/>
      <c r="N2110" s="340"/>
    </row>
    <row r="2111" spans="1:14" ht="12.75" customHeight="1">
      <c r="A2111" s="194"/>
      <c r="B2111" s="39"/>
      <c r="C2111" s="243"/>
      <c r="D2111" s="232">
        <v>2012</v>
      </c>
      <c r="E2111" s="244">
        <v>1779</v>
      </c>
      <c r="F2111" s="215">
        <v>1</v>
      </c>
      <c r="G2111" s="590">
        <v>2.32</v>
      </c>
      <c r="H2111" s="592">
        <v>9800</v>
      </c>
      <c r="I2111" s="592">
        <v>2</v>
      </c>
      <c r="J2111" s="592"/>
      <c r="K2111" s="592"/>
      <c r="L2111" s="590">
        <v>0.066</v>
      </c>
      <c r="M2111" s="592"/>
      <c r="N2111" s="592"/>
    </row>
    <row r="2112" spans="1:14" ht="12.75" customHeight="1">
      <c r="A2112" s="194"/>
      <c r="B2112" s="39"/>
      <c r="C2112" s="245"/>
      <c r="D2112" s="236"/>
      <c r="E2112" s="244">
        <v>200</v>
      </c>
      <c r="F2112" s="215">
        <v>2</v>
      </c>
      <c r="G2112" s="415"/>
      <c r="H2112" s="415"/>
      <c r="I2112" s="415"/>
      <c r="J2112" s="415"/>
      <c r="K2112" s="415"/>
      <c r="L2112" s="601"/>
      <c r="M2112" s="415"/>
      <c r="N2112" s="415"/>
    </row>
    <row r="2113" spans="1:14" ht="12.75" customHeight="1">
      <c r="A2113" s="194"/>
      <c r="B2113" s="39"/>
      <c r="C2113" s="245"/>
      <c r="D2113" s="74"/>
      <c r="E2113" s="244">
        <v>100</v>
      </c>
      <c r="F2113" s="215">
        <v>3</v>
      </c>
      <c r="G2113" s="415"/>
      <c r="H2113" s="415"/>
      <c r="I2113" s="415"/>
      <c r="J2113" s="415"/>
      <c r="K2113" s="415"/>
      <c r="L2113" s="601"/>
      <c r="M2113" s="415"/>
      <c r="N2113" s="415"/>
    </row>
    <row r="2114" spans="1:14" ht="12.75" customHeight="1">
      <c r="A2114" s="194"/>
      <c r="B2114" s="39"/>
      <c r="C2114" s="245"/>
      <c r="D2114" s="74"/>
      <c r="E2114" s="244">
        <v>700</v>
      </c>
      <c r="F2114" s="215">
        <v>4</v>
      </c>
      <c r="G2114" s="415"/>
      <c r="H2114" s="415"/>
      <c r="I2114" s="415"/>
      <c r="J2114" s="415"/>
      <c r="K2114" s="415"/>
      <c r="L2114" s="601"/>
      <c r="M2114" s="415"/>
      <c r="N2114" s="415"/>
    </row>
    <row r="2115" spans="1:14" ht="13.5" customHeight="1">
      <c r="A2115" s="246"/>
      <c r="B2115" s="236"/>
      <c r="C2115" s="247"/>
      <c r="D2115" s="74"/>
      <c r="E2115" s="244">
        <f>E2111+E2112+E2113+E2114</f>
        <v>2779</v>
      </c>
      <c r="F2115" s="215">
        <v>5</v>
      </c>
      <c r="G2115" s="416"/>
      <c r="H2115" s="416"/>
      <c r="I2115" s="416"/>
      <c r="J2115" s="416"/>
      <c r="K2115" s="416"/>
      <c r="L2115" s="602"/>
      <c r="M2115" s="416"/>
      <c r="N2115" s="416"/>
    </row>
    <row r="2116" spans="1:14" ht="79.5" customHeight="1">
      <c r="A2116" s="246"/>
      <c r="B2116" s="248" t="s">
        <v>71</v>
      </c>
      <c r="C2116" s="249" t="s">
        <v>400</v>
      </c>
      <c r="D2116" s="74"/>
      <c r="E2116" s="244">
        <v>295</v>
      </c>
      <c r="F2116" s="215">
        <v>1</v>
      </c>
      <c r="G2116" s="234">
        <v>0.109</v>
      </c>
      <c r="H2116" s="214">
        <v>204.1</v>
      </c>
      <c r="I2116" s="250"/>
      <c r="J2116" s="251"/>
      <c r="K2116" s="251"/>
      <c r="L2116" s="234">
        <v>0.095</v>
      </c>
      <c r="M2116" s="251"/>
      <c r="N2116" s="252"/>
    </row>
    <row r="2117" spans="1:14" ht="77.25" customHeight="1">
      <c r="A2117" s="235"/>
      <c r="B2117" s="253" t="s">
        <v>72</v>
      </c>
      <c r="C2117" s="254" t="s">
        <v>401</v>
      </c>
      <c r="D2117" s="74"/>
      <c r="E2117" s="255">
        <v>298</v>
      </c>
      <c r="F2117" s="225">
        <v>1</v>
      </c>
      <c r="G2117" s="256">
        <v>0.2495</v>
      </c>
      <c r="H2117" s="257">
        <v>157.4</v>
      </c>
      <c r="I2117" s="258"/>
      <c r="J2117" s="259"/>
      <c r="K2117" s="259"/>
      <c r="L2117" s="256">
        <v>0.055</v>
      </c>
      <c r="M2117" s="259"/>
      <c r="N2117" s="260"/>
    </row>
    <row r="2118" spans="1:14" ht="79.5" customHeight="1">
      <c r="A2118" s="235"/>
      <c r="B2118" s="261" t="s">
        <v>255</v>
      </c>
      <c r="C2118" s="262" t="s">
        <v>402</v>
      </c>
      <c r="D2118" s="74"/>
      <c r="E2118" s="244">
        <v>298</v>
      </c>
      <c r="F2118" s="215">
        <v>1</v>
      </c>
      <c r="G2118" s="234">
        <v>0.0857</v>
      </c>
      <c r="H2118" s="214">
        <v>152.7</v>
      </c>
      <c r="I2118" s="250"/>
      <c r="J2118" s="251"/>
      <c r="K2118" s="251"/>
      <c r="L2118" s="234">
        <v>0.055</v>
      </c>
      <c r="M2118" s="251"/>
      <c r="N2118" s="252"/>
    </row>
    <row r="2119" spans="1:14" ht="71.25" customHeight="1">
      <c r="A2119" s="235"/>
      <c r="B2119" s="261" t="s">
        <v>73</v>
      </c>
      <c r="C2119" s="213" t="s">
        <v>403</v>
      </c>
      <c r="D2119" s="74"/>
      <c r="E2119" s="244">
        <v>298</v>
      </c>
      <c r="F2119" s="215">
        <v>1</v>
      </c>
      <c r="G2119" s="234">
        <v>0.1628</v>
      </c>
      <c r="H2119" s="214">
        <v>281.7</v>
      </c>
      <c r="I2119" s="250"/>
      <c r="J2119" s="251"/>
      <c r="K2119" s="251"/>
      <c r="L2119" s="234">
        <v>0.095</v>
      </c>
      <c r="M2119" s="251"/>
      <c r="N2119" s="252"/>
    </row>
    <row r="2120" spans="1:14" ht="78" customHeight="1">
      <c r="A2120" s="235"/>
      <c r="B2120" s="261" t="s">
        <v>74</v>
      </c>
      <c r="C2120" s="213" t="s">
        <v>404</v>
      </c>
      <c r="D2120" s="74"/>
      <c r="E2120" s="244">
        <v>293</v>
      </c>
      <c r="F2120" s="215">
        <v>1</v>
      </c>
      <c r="G2120" s="234">
        <v>0.1076</v>
      </c>
      <c r="H2120" s="214">
        <v>202.5</v>
      </c>
      <c r="I2120" s="250"/>
      <c r="J2120" s="251"/>
      <c r="K2120" s="251"/>
      <c r="L2120" s="234">
        <v>0.095</v>
      </c>
      <c r="M2120" s="251"/>
      <c r="N2120" s="252"/>
    </row>
    <row r="2121" spans="1:14" ht="79.5" customHeight="1">
      <c r="A2121" s="240"/>
      <c r="B2121" s="261" t="s">
        <v>75</v>
      </c>
      <c r="C2121" s="213" t="s">
        <v>405</v>
      </c>
      <c r="D2121" s="75"/>
      <c r="E2121" s="244">
        <v>297</v>
      </c>
      <c r="F2121" s="215">
        <v>1</v>
      </c>
      <c r="G2121" s="234">
        <v>0.1546</v>
      </c>
      <c r="H2121" s="214">
        <v>265.5</v>
      </c>
      <c r="I2121" s="250"/>
      <c r="J2121" s="251"/>
      <c r="K2121" s="251"/>
      <c r="L2121" s="234">
        <v>0.066</v>
      </c>
      <c r="M2121" s="251"/>
      <c r="N2121" s="252"/>
    </row>
    <row r="2122" spans="1:14" ht="9.75" customHeight="1">
      <c r="A2122" s="235"/>
      <c r="B2122" s="263"/>
      <c r="C2122" s="264"/>
      <c r="D2122" s="310">
        <v>2013</v>
      </c>
      <c r="E2122" s="257">
        <v>7700</v>
      </c>
      <c r="F2122" s="225">
        <v>1</v>
      </c>
      <c r="G2122" s="594">
        <v>2.32</v>
      </c>
      <c r="H2122" s="593">
        <v>9800</v>
      </c>
      <c r="I2122" s="593">
        <v>2</v>
      </c>
      <c r="J2122" s="598"/>
      <c r="K2122" s="598"/>
      <c r="L2122" s="594"/>
      <c r="M2122" s="598"/>
      <c r="N2122" s="603"/>
    </row>
    <row r="2123" spans="1:14" ht="10.5" customHeight="1">
      <c r="A2123" s="235"/>
      <c r="B2123" s="147"/>
      <c r="C2123" s="264"/>
      <c r="D2123" s="311"/>
      <c r="E2123" s="214">
        <f>200+257.6+295+292.35</f>
        <v>1044.95</v>
      </c>
      <c r="F2123" s="215">
        <v>2</v>
      </c>
      <c r="G2123" s="415"/>
      <c r="H2123" s="415"/>
      <c r="I2123" s="599"/>
      <c r="J2123" s="599"/>
      <c r="K2123" s="599"/>
      <c r="L2123" s="415"/>
      <c r="M2123" s="599"/>
      <c r="N2123" s="282"/>
    </row>
    <row r="2124" spans="1:14" ht="10.5" customHeight="1">
      <c r="A2124" s="235"/>
      <c r="B2124" s="147"/>
      <c r="C2124" s="264"/>
      <c r="D2124" s="311"/>
      <c r="E2124" s="214">
        <v>100</v>
      </c>
      <c r="F2124" s="215">
        <v>3</v>
      </c>
      <c r="G2124" s="415"/>
      <c r="H2124" s="415"/>
      <c r="I2124" s="599"/>
      <c r="J2124" s="599"/>
      <c r="K2124" s="599"/>
      <c r="L2124" s="415"/>
      <c r="M2124" s="599"/>
      <c r="N2124" s="282"/>
    </row>
    <row r="2125" spans="1:14" ht="9.75" customHeight="1">
      <c r="A2125" s="235"/>
      <c r="B2125" s="147"/>
      <c r="C2125" s="264"/>
      <c r="D2125" s="311"/>
      <c r="E2125" s="214">
        <v>700</v>
      </c>
      <c r="F2125" s="215">
        <v>4</v>
      </c>
      <c r="G2125" s="415"/>
      <c r="H2125" s="415"/>
      <c r="I2125" s="599"/>
      <c r="J2125" s="599"/>
      <c r="K2125" s="599"/>
      <c r="L2125" s="415"/>
      <c r="M2125" s="599"/>
      <c r="N2125" s="282"/>
    </row>
    <row r="2126" spans="1:14" ht="10.5" customHeight="1">
      <c r="A2126" s="235"/>
      <c r="B2126" s="147"/>
      <c r="C2126" s="264"/>
      <c r="D2126" s="312"/>
      <c r="E2126" s="214">
        <f>SUM(E2122:E2125)</f>
        <v>9544.95</v>
      </c>
      <c r="F2126" s="215">
        <v>5</v>
      </c>
      <c r="G2126" s="416"/>
      <c r="H2126" s="416"/>
      <c r="I2126" s="600"/>
      <c r="J2126" s="600"/>
      <c r="K2126" s="600"/>
      <c r="L2126" s="416"/>
      <c r="M2126" s="600"/>
      <c r="N2126" s="283"/>
    </row>
    <row r="2127" spans="1:14" ht="10.5" customHeight="1">
      <c r="A2127" s="235"/>
      <c r="B2127" s="147"/>
      <c r="C2127" s="264"/>
      <c r="D2127" s="366">
        <v>2014</v>
      </c>
      <c r="E2127" s="214">
        <v>200</v>
      </c>
      <c r="F2127" s="215">
        <v>2</v>
      </c>
      <c r="G2127" s="591">
        <v>2.32</v>
      </c>
      <c r="H2127" s="359">
        <v>9800</v>
      </c>
      <c r="I2127" s="359">
        <v>2</v>
      </c>
      <c r="J2127" s="330"/>
      <c r="K2127" s="330"/>
      <c r="L2127" s="591"/>
      <c r="M2127" s="330"/>
      <c r="N2127" s="340"/>
    </row>
    <row r="2128" spans="1:14" ht="10.5" customHeight="1">
      <c r="A2128" s="235"/>
      <c r="B2128" s="147"/>
      <c r="C2128" s="264"/>
      <c r="D2128" s="366"/>
      <c r="E2128" s="214">
        <v>100</v>
      </c>
      <c r="F2128" s="215">
        <v>3</v>
      </c>
      <c r="G2128" s="591"/>
      <c r="H2128" s="359"/>
      <c r="I2128" s="359"/>
      <c r="J2128" s="330"/>
      <c r="K2128" s="330"/>
      <c r="L2128" s="591"/>
      <c r="M2128" s="330"/>
      <c r="N2128" s="340"/>
    </row>
    <row r="2129" spans="1:14" ht="10.5" customHeight="1">
      <c r="A2129" s="235"/>
      <c r="B2129" s="147"/>
      <c r="C2129" s="264"/>
      <c r="D2129" s="366"/>
      <c r="E2129" s="214">
        <v>700</v>
      </c>
      <c r="F2129" s="215">
        <v>4</v>
      </c>
      <c r="G2129" s="591"/>
      <c r="H2129" s="359"/>
      <c r="I2129" s="359"/>
      <c r="J2129" s="330"/>
      <c r="K2129" s="330"/>
      <c r="L2129" s="591"/>
      <c r="M2129" s="330"/>
      <c r="N2129" s="340"/>
    </row>
    <row r="2130" spans="1:14" ht="10.5" customHeight="1">
      <c r="A2130" s="235"/>
      <c r="B2130" s="147"/>
      <c r="C2130" s="264"/>
      <c r="D2130" s="366"/>
      <c r="E2130" s="214">
        <f>SUM(E2127:E2129)</f>
        <v>1000</v>
      </c>
      <c r="F2130" s="215">
        <v>5</v>
      </c>
      <c r="G2130" s="591"/>
      <c r="H2130" s="359"/>
      <c r="I2130" s="359"/>
      <c r="J2130" s="330"/>
      <c r="K2130" s="330"/>
      <c r="L2130" s="591"/>
      <c r="M2130" s="330"/>
      <c r="N2130" s="340"/>
    </row>
    <row r="2131" spans="1:14" ht="10.5" customHeight="1">
      <c r="A2131" s="291"/>
      <c r="B2131" s="147"/>
      <c r="C2131" s="264"/>
      <c r="D2131" s="366">
        <v>2015</v>
      </c>
      <c r="E2131" s="214">
        <v>200</v>
      </c>
      <c r="F2131" s="215">
        <v>2</v>
      </c>
      <c r="G2131" s="591">
        <v>2.32</v>
      </c>
      <c r="H2131" s="359">
        <v>9800</v>
      </c>
      <c r="I2131" s="359">
        <v>2</v>
      </c>
      <c r="J2131" s="330"/>
      <c r="K2131" s="330"/>
      <c r="L2131" s="591"/>
      <c r="M2131" s="330"/>
      <c r="N2131" s="340"/>
    </row>
    <row r="2132" spans="1:14" ht="10.5" customHeight="1">
      <c r="A2132" s="291"/>
      <c r="B2132" s="147"/>
      <c r="C2132" s="264"/>
      <c r="D2132" s="366"/>
      <c r="E2132" s="214">
        <v>100</v>
      </c>
      <c r="F2132" s="215">
        <v>3</v>
      </c>
      <c r="G2132" s="591"/>
      <c r="H2132" s="359"/>
      <c r="I2132" s="359"/>
      <c r="J2132" s="330"/>
      <c r="K2132" s="330"/>
      <c r="L2132" s="591"/>
      <c r="M2132" s="330"/>
      <c r="N2132" s="340"/>
    </row>
    <row r="2133" spans="1:14" ht="9.75" customHeight="1">
      <c r="A2133" s="291"/>
      <c r="B2133" s="147"/>
      <c r="C2133" s="264"/>
      <c r="D2133" s="366"/>
      <c r="E2133" s="214">
        <v>700</v>
      </c>
      <c r="F2133" s="215">
        <v>4</v>
      </c>
      <c r="G2133" s="591"/>
      <c r="H2133" s="359"/>
      <c r="I2133" s="359"/>
      <c r="J2133" s="330"/>
      <c r="K2133" s="330"/>
      <c r="L2133" s="591"/>
      <c r="M2133" s="330"/>
      <c r="N2133" s="340"/>
    </row>
    <row r="2134" spans="1:14" ht="10.5" customHeight="1">
      <c r="A2134" s="291"/>
      <c r="B2134" s="147"/>
      <c r="C2134" s="264"/>
      <c r="D2134" s="366"/>
      <c r="E2134" s="214">
        <f>SUM(E2131:E2133)</f>
        <v>1000</v>
      </c>
      <c r="F2134" s="215">
        <v>5</v>
      </c>
      <c r="G2134" s="591"/>
      <c r="H2134" s="359"/>
      <c r="I2134" s="359"/>
      <c r="J2134" s="330"/>
      <c r="K2134" s="330"/>
      <c r="L2134" s="591"/>
      <c r="M2134" s="330"/>
      <c r="N2134" s="340"/>
    </row>
    <row r="2135" spans="1:14" ht="9.75" customHeight="1">
      <c r="A2135" s="231">
        <v>162</v>
      </c>
      <c r="B2135" s="702" t="s">
        <v>275</v>
      </c>
      <c r="C2135" s="265" t="s">
        <v>265</v>
      </c>
      <c r="D2135" s="366" t="s">
        <v>278</v>
      </c>
      <c r="E2135" s="214">
        <f>E2141+E2147+E2154+E2160+E2166</f>
        <v>27887.14</v>
      </c>
      <c r="F2135" s="215">
        <v>1</v>
      </c>
      <c r="G2135" s="359">
        <f>G2141+G2147+G2154+G2160+G2166</f>
        <v>4.545</v>
      </c>
      <c r="H2135" s="359">
        <f>H2141+H2147+H2154+H2160+H2166</f>
        <v>5054.460000000001</v>
      </c>
      <c r="I2135" s="330">
        <f>I2141+I2147+I2154+I2160+I2166</f>
        <v>3.73</v>
      </c>
      <c r="J2135" s="330"/>
      <c r="K2135" s="330">
        <f>K2147</f>
        <v>0.069</v>
      </c>
      <c r="L2135" s="330"/>
      <c r="M2135" s="591">
        <f>M2141+M2147+M2154+M2160+M2166</f>
        <v>1.5910000000000002</v>
      </c>
      <c r="N2135" s="340"/>
    </row>
    <row r="2136" spans="1:14" ht="10.5" customHeight="1">
      <c r="A2136" s="235"/>
      <c r="B2136" s="703"/>
      <c r="C2136" s="264"/>
      <c r="D2136" s="366"/>
      <c r="E2136" s="214">
        <f>E2142+E2148+E2155+E2161+E2167</f>
        <v>4627</v>
      </c>
      <c r="F2136" s="215">
        <v>2</v>
      </c>
      <c r="G2136" s="330"/>
      <c r="H2136" s="330"/>
      <c r="I2136" s="330"/>
      <c r="J2136" s="330"/>
      <c r="K2136" s="330"/>
      <c r="L2136" s="330"/>
      <c r="M2136" s="591"/>
      <c r="N2136" s="340"/>
    </row>
    <row r="2137" spans="1:14" ht="10.5" customHeight="1">
      <c r="A2137" s="235"/>
      <c r="B2137" s="703"/>
      <c r="C2137" s="264"/>
      <c r="D2137" s="366"/>
      <c r="E2137" s="214">
        <f>E2143+E2149+E2156+E2162+E2168</f>
        <v>2748</v>
      </c>
      <c r="F2137" s="215" t="s">
        <v>258</v>
      </c>
      <c r="G2137" s="330"/>
      <c r="H2137" s="330"/>
      <c r="I2137" s="330"/>
      <c r="J2137" s="330"/>
      <c r="K2137" s="330"/>
      <c r="L2137" s="330"/>
      <c r="M2137" s="591"/>
      <c r="N2137" s="340"/>
    </row>
    <row r="2138" spans="1:14" ht="9.75" customHeight="1">
      <c r="A2138" s="235"/>
      <c r="B2138" s="703"/>
      <c r="C2138" s="264"/>
      <c r="D2138" s="366"/>
      <c r="E2138" s="214">
        <f>E2144+E2150+E2157+E2163+E2169</f>
        <v>3023</v>
      </c>
      <c r="F2138" s="215">
        <v>3</v>
      </c>
      <c r="G2138" s="330"/>
      <c r="H2138" s="330"/>
      <c r="I2138" s="330"/>
      <c r="J2138" s="330"/>
      <c r="K2138" s="330"/>
      <c r="L2138" s="330"/>
      <c r="M2138" s="591"/>
      <c r="N2138" s="340"/>
    </row>
    <row r="2139" spans="1:14" ht="10.5" customHeight="1">
      <c r="A2139" s="235"/>
      <c r="B2139" s="703"/>
      <c r="C2139" s="264"/>
      <c r="D2139" s="366"/>
      <c r="E2139" s="214">
        <f>E2145+E2151+E2158+E2164+E2170</f>
        <v>9693</v>
      </c>
      <c r="F2139" s="215">
        <v>4</v>
      </c>
      <c r="G2139" s="330"/>
      <c r="H2139" s="330"/>
      <c r="I2139" s="330"/>
      <c r="J2139" s="330"/>
      <c r="K2139" s="330"/>
      <c r="L2139" s="330"/>
      <c r="M2139" s="591"/>
      <c r="N2139" s="340"/>
    </row>
    <row r="2140" spans="1:14" ht="10.5" customHeight="1">
      <c r="A2140" s="235"/>
      <c r="B2140" s="703"/>
      <c r="C2140" s="264"/>
      <c r="D2140" s="366"/>
      <c r="E2140" s="214">
        <f>E2135+E2136+E2137+E2138+E2139</f>
        <v>47978.14</v>
      </c>
      <c r="F2140" s="215">
        <v>5</v>
      </c>
      <c r="G2140" s="330"/>
      <c r="H2140" s="330"/>
      <c r="I2140" s="330"/>
      <c r="J2140" s="330"/>
      <c r="K2140" s="330"/>
      <c r="L2140" s="330"/>
      <c r="M2140" s="591"/>
      <c r="N2140" s="340"/>
    </row>
    <row r="2141" spans="1:14" ht="9.75" customHeight="1">
      <c r="A2141" s="235"/>
      <c r="B2141" s="266"/>
      <c r="C2141" s="264"/>
      <c r="D2141" s="366">
        <v>2011</v>
      </c>
      <c r="E2141" s="214">
        <f>2198.4+580</f>
        <v>2778.4</v>
      </c>
      <c r="F2141" s="215">
        <v>1</v>
      </c>
      <c r="G2141" s="359">
        <v>0.89</v>
      </c>
      <c r="H2141" s="359">
        <v>907.97</v>
      </c>
      <c r="I2141" s="330">
        <v>0.746</v>
      </c>
      <c r="J2141" s="330"/>
      <c r="K2141" s="330"/>
      <c r="L2141" s="330"/>
      <c r="M2141" s="591">
        <v>0.2</v>
      </c>
      <c r="N2141" s="340"/>
    </row>
    <row r="2142" spans="1:14" ht="10.5" customHeight="1">
      <c r="A2142" s="235"/>
      <c r="B2142" s="266"/>
      <c r="C2142" s="264"/>
      <c r="D2142" s="366"/>
      <c r="E2142" s="214">
        <f>769.4+10+60</f>
        <v>839.4</v>
      </c>
      <c r="F2142" s="215">
        <v>2</v>
      </c>
      <c r="G2142" s="359"/>
      <c r="H2142" s="359"/>
      <c r="I2142" s="330"/>
      <c r="J2142" s="330"/>
      <c r="K2142" s="330"/>
      <c r="L2142" s="330"/>
      <c r="M2142" s="591"/>
      <c r="N2142" s="340"/>
    </row>
    <row r="2143" spans="1:14" ht="10.5" customHeight="1">
      <c r="A2143" s="235"/>
      <c r="B2143" s="266"/>
      <c r="C2143" s="264"/>
      <c r="D2143" s="366"/>
      <c r="E2143" s="214">
        <v>549.6</v>
      </c>
      <c r="F2143" s="215" t="s">
        <v>258</v>
      </c>
      <c r="G2143" s="359"/>
      <c r="H2143" s="359"/>
      <c r="I2143" s="330"/>
      <c r="J2143" s="330"/>
      <c r="K2143" s="330"/>
      <c r="L2143" s="330"/>
      <c r="M2143" s="591"/>
      <c r="N2143" s="340"/>
    </row>
    <row r="2144" spans="1:14" ht="9.75" customHeight="1">
      <c r="A2144" s="235"/>
      <c r="B2144" s="266"/>
      <c r="C2144" s="264"/>
      <c r="D2144" s="366"/>
      <c r="E2144" s="214">
        <v>604.6</v>
      </c>
      <c r="F2144" s="215">
        <v>3</v>
      </c>
      <c r="G2144" s="359"/>
      <c r="H2144" s="359"/>
      <c r="I2144" s="330"/>
      <c r="J2144" s="330"/>
      <c r="K2144" s="330"/>
      <c r="L2144" s="330"/>
      <c r="M2144" s="591"/>
      <c r="N2144" s="340"/>
    </row>
    <row r="2145" spans="1:14" ht="9.75" customHeight="1">
      <c r="A2145" s="235"/>
      <c r="B2145" s="266"/>
      <c r="C2145" s="264"/>
      <c r="D2145" s="366"/>
      <c r="E2145" s="214">
        <f>1923.6+15</f>
        <v>1938.6</v>
      </c>
      <c r="F2145" s="215">
        <v>4</v>
      </c>
      <c r="G2145" s="359"/>
      <c r="H2145" s="359"/>
      <c r="I2145" s="330"/>
      <c r="J2145" s="330"/>
      <c r="K2145" s="330"/>
      <c r="L2145" s="330"/>
      <c r="M2145" s="591"/>
      <c r="N2145" s="340"/>
    </row>
    <row r="2146" spans="1:14" ht="10.5" customHeight="1">
      <c r="A2146" s="235"/>
      <c r="B2146" s="266"/>
      <c r="C2146" s="264"/>
      <c r="D2146" s="366"/>
      <c r="E2146" s="214">
        <f>SUM(E2141+E2142+E2144+E2145)</f>
        <v>6161</v>
      </c>
      <c r="F2146" s="215">
        <v>5</v>
      </c>
      <c r="G2146" s="359"/>
      <c r="H2146" s="359"/>
      <c r="I2146" s="330"/>
      <c r="J2146" s="330"/>
      <c r="K2146" s="330"/>
      <c r="L2146" s="330"/>
      <c r="M2146" s="591"/>
      <c r="N2146" s="340"/>
    </row>
    <row r="2147" spans="1:14" ht="10.5" customHeight="1">
      <c r="A2147" s="235"/>
      <c r="B2147" s="263"/>
      <c r="C2147" s="147"/>
      <c r="D2147" s="366">
        <v>2012</v>
      </c>
      <c r="E2147" s="214">
        <f>2198.4+900+164.94</f>
        <v>3263.34</v>
      </c>
      <c r="F2147" s="215">
        <v>1</v>
      </c>
      <c r="G2147" s="359">
        <v>0.89</v>
      </c>
      <c r="H2147" s="359">
        <v>907.97</v>
      </c>
      <c r="I2147" s="330">
        <v>0.746</v>
      </c>
      <c r="J2147" s="330"/>
      <c r="K2147" s="330">
        <f>K2153</f>
        <v>0.069</v>
      </c>
      <c r="L2147" s="330"/>
      <c r="M2147" s="591">
        <v>0.2</v>
      </c>
      <c r="N2147" s="340"/>
    </row>
    <row r="2148" spans="1:14" ht="10.5" customHeight="1">
      <c r="A2148" s="235"/>
      <c r="B2148" s="263"/>
      <c r="C2148" s="147"/>
      <c r="D2148" s="366"/>
      <c r="E2148" s="214">
        <f>769.4+10+90</f>
        <v>869.4</v>
      </c>
      <c r="F2148" s="215">
        <v>2</v>
      </c>
      <c r="G2148" s="359"/>
      <c r="H2148" s="359"/>
      <c r="I2148" s="330"/>
      <c r="J2148" s="330"/>
      <c r="K2148" s="330"/>
      <c r="L2148" s="330"/>
      <c r="M2148" s="591"/>
      <c r="N2148" s="340"/>
    </row>
    <row r="2149" spans="1:14" ht="9.75" customHeight="1">
      <c r="A2149" s="235"/>
      <c r="B2149" s="263"/>
      <c r="C2149" s="147"/>
      <c r="D2149" s="366"/>
      <c r="E2149" s="214">
        <v>549.6</v>
      </c>
      <c r="F2149" s="215" t="s">
        <v>258</v>
      </c>
      <c r="G2149" s="359"/>
      <c r="H2149" s="359"/>
      <c r="I2149" s="330"/>
      <c r="J2149" s="330"/>
      <c r="K2149" s="330"/>
      <c r="L2149" s="330"/>
      <c r="M2149" s="591"/>
      <c r="N2149" s="340"/>
    </row>
    <row r="2150" spans="1:14" ht="9.75" customHeight="1">
      <c r="A2150" s="235"/>
      <c r="B2150" s="263"/>
      <c r="C2150" s="147"/>
      <c r="D2150" s="366"/>
      <c r="E2150" s="267">
        <v>604.6</v>
      </c>
      <c r="F2150" s="268">
        <v>3</v>
      </c>
      <c r="G2150" s="359"/>
      <c r="H2150" s="359"/>
      <c r="I2150" s="330"/>
      <c r="J2150" s="330"/>
      <c r="K2150" s="330"/>
      <c r="L2150" s="330"/>
      <c r="M2150" s="591"/>
      <c r="N2150" s="340"/>
    </row>
    <row r="2151" spans="1:14" ht="11.25" customHeight="1">
      <c r="A2151" s="235"/>
      <c r="B2151" s="263"/>
      <c r="C2151" s="147"/>
      <c r="D2151" s="366"/>
      <c r="E2151" s="267">
        <f>1923.6+15</f>
        <v>1938.6</v>
      </c>
      <c r="F2151" s="268">
        <v>4</v>
      </c>
      <c r="G2151" s="359"/>
      <c r="H2151" s="359"/>
      <c r="I2151" s="330"/>
      <c r="J2151" s="330"/>
      <c r="K2151" s="330"/>
      <c r="L2151" s="330"/>
      <c r="M2151" s="591"/>
      <c r="N2151" s="340"/>
    </row>
    <row r="2152" spans="1:14" ht="11.25" customHeight="1">
      <c r="A2152" s="235"/>
      <c r="B2152" s="149" t="s">
        <v>180</v>
      </c>
      <c r="C2152" s="147"/>
      <c r="D2152" s="366"/>
      <c r="E2152" s="267">
        <f>SUM(E2147+E2148+E2150+E2151)</f>
        <v>6675.9400000000005</v>
      </c>
      <c r="F2152" s="268">
        <v>5</v>
      </c>
      <c r="G2152" s="359"/>
      <c r="H2152" s="359"/>
      <c r="I2152" s="330"/>
      <c r="J2152" s="330"/>
      <c r="K2152" s="330"/>
      <c r="L2152" s="330"/>
      <c r="M2152" s="591"/>
      <c r="N2152" s="365"/>
    </row>
    <row r="2153" spans="1:14" ht="91.5" customHeight="1">
      <c r="A2153" s="235"/>
      <c r="B2153" s="269" t="s">
        <v>76</v>
      </c>
      <c r="C2153" s="81" t="s">
        <v>77</v>
      </c>
      <c r="D2153" s="147"/>
      <c r="E2153" s="124">
        <v>3263.342</v>
      </c>
      <c r="F2153" s="123">
        <v>1</v>
      </c>
      <c r="G2153" s="82">
        <f>K2153*0.627+I2153/1.149</f>
        <v>0.07546491470844213</v>
      </c>
      <c r="H2153" s="82">
        <v>48.51</v>
      </c>
      <c r="I2153" s="124">
        <v>0.037</v>
      </c>
      <c r="J2153" s="209"/>
      <c r="K2153" s="209">
        <v>0.069</v>
      </c>
      <c r="L2153" s="123"/>
      <c r="M2153" s="124"/>
      <c r="N2153" s="270"/>
    </row>
    <row r="2154" spans="1:14" ht="10.5" customHeight="1">
      <c r="A2154" s="394"/>
      <c r="B2154" s="271"/>
      <c r="C2154" s="236"/>
      <c r="D2154" s="366">
        <v>2013</v>
      </c>
      <c r="E2154" s="267">
        <f>2198.4+1480+70+2466.8</f>
        <v>6215.200000000001</v>
      </c>
      <c r="F2154" s="268">
        <v>1</v>
      </c>
      <c r="G2154" s="359">
        <f>0.89+0.03</f>
        <v>0.92</v>
      </c>
      <c r="H2154" s="359">
        <f>907.97+184.9</f>
        <v>1092.8700000000001</v>
      </c>
      <c r="I2154" s="330">
        <v>0.746</v>
      </c>
      <c r="J2154" s="330"/>
      <c r="K2154" s="330"/>
      <c r="L2154" s="330"/>
      <c r="M2154" s="591">
        <f>0.2+0.191</f>
        <v>0.391</v>
      </c>
      <c r="N2154" s="340"/>
    </row>
    <row r="2155" spans="1:14" ht="10.5" customHeight="1">
      <c r="A2155" s="394"/>
      <c r="B2155" s="272"/>
      <c r="C2155" s="236"/>
      <c r="D2155" s="366"/>
      <c r="E2155" s="267">
        <f>769.4+10+140</f>
        <v>919.4</v>
      </c>
      <c r="F2155" s="268">
        <v>2</v>
      </c>
      <c r="G2155" s="359"/>
      <c r="H2155" s="359"/>
      <c r="I2155" s="330"/>
      <c r="J2155" s="330"/>
      <c r="K2155" s="330"/>
      <c r="L2155" s="330"/>
      <c r="M2155" s="591"/>
      <c r="N2155" s="340"/>
    </row>
    <row r="2156" spans="1:14" ht="9.75" customHeight="1">
      <c r="A2156" s="394"/>
      <c r="B2156" s="272"/>
      <c r="C2156" s="236"/>
      <c r="D2156" s="366"/>
      <c r="E2156" s="267">
        <v>549.6</v>
      </c>
      <c r="F2156" s="268" t="s">
        <v>258</v>
      </c>
      <c r="G2156" s="359"/>
      <c r="H2156" s="359"/>
      <c r="I2156" s="330"/>
      <c r="J2156" s="330"/>
      <c r="K2156" s="330"/>
      <c r="L2156" s="330"/>
      <c r="M2156" s="591"/>
      <c r="N2156" s="340"/>
    </row>
    <row r="2157" spans="1:14" ht="11.25" customHeight="1">
      <c r="A2157" s="394"/>
      <c r="B2157" s="272"/>
      <c r="C2157" s="236"/>
      <c r="D2157" s="366"/>
      <c r="E2157" s="267">
        <v>604.6</v>
      </c>
      <c r="F2157" s="268">
        <v>3</v>
      </c>
      <c r="G2157" s="359"/>
      <c r="H2157" s="359"/>
      <c r="I2157" s="330"/>
      <c r="J2157" s="330"/>
      <c r="K2157" s="330"/>
      <c r="L2157" s="330"/>
      <c r="M2157" s="591"/>
      <c r="N2157" s="340"/>
    </row>
    <row r="2158" spans="1:14" ht="10.5" customHeight="1">
      <c r="A2158" s="394"/>
      <c r="B2158" s="272"/>
      <c r="C2158" s="236"/>
      <c r="D2158" s="366"/>
      <c r="E2158" s="267">
        <f>1923.6+15</f>
        <v>1938.6</v>
      </c>
      <c r="F2158" s="268">
        <v>4</v>
      </c>
      <c r="G2158" s="359"/>
      <c r="H2158" s="359"/>
      <c r="I2158" s="330"/>
      <c r="J2158" s="330"/>
      <c r="K2158" s="330"/>
      <c r="L2158" s="330"/>
      <c r="M2158" s="591"/>
      <c r="N2158" s="340"/>
    </row>
    <row r="2159" spans="1:14" ht="9.75" customHeight="1">
      <c r="A2159" s="394"/>
      <c r="B2159" s="272"/>
      <c r="C2159" s="236"/>
      <c r="D2159" s="366"/>
      <c r="E2159" s="267">
        <f>SUM(E2154+E2155+E2157+E2158)</f>
        <v>9677.800000000001</v>
      </c>
      <c r="F2159" s="268">
        <v>5</v>
      </c>
      <c r="G2159" s="359"/>
      <c r="H2159" s="359"/>
      <c r="I2159" s="330"/>
      <c r="J2159" s="330"/>
      <c r="K2159" s="330"/>
      <c r="L2159" s="330"/>
      <c r="M2159" s="591"/>
      <c r="N2159" s="340"/>
    </row>
    <row r="2160" spans="1:14" ht="10.5" customHeight="1">
      <c r="A2160" s="394"/>
      <c r="B2160" s="272"/>
      <c r="C2160" s="236"/>
      <c r="D2160" s="366">
        <v>2014</v>
      </c>
      <c r="E2160" s="267">
        <f>2198.4+2100+965+2500</f>
        <v>7763.4</v>
      </c>
      <c r="F2160" s="268">
        <v>1</v>
      </c>
      <c r="G2160" s="359">
        <f>0.89+0.026</f>
        <v>0.916</v>
      </c>
      <c r="H2160" s="359">
        <f>907.97+115.21</f>
        <v>1023.1800000000001</v>
      </c>
      <c r="I2160" s="330">
        <v>0.746</v>
      </c>
      <c r="J2160" s="330"/>
      <c r="K2160" s="330"/>
      <c r="L2160" s="330"/>
      <c r="M2160" s="591">
        <f>0.2+0.177</f>
        <v>0.377</v>
      </c>
      <c r="N2160" s="340"/>
    </row>
    <row r="2161" spans="1:14" ht="10.5" customHeight="1">
      <c r="A2161" s="394"/>
      <c r="B2161" s="272"/>
      <c r="C2161" s="236"/>
      <c r="D2161" s="366"/>
      <c r="E2161" s="214">
        <f>769.4+10+210</f>
        <v>989.4</v>
      </c>
      <c r="F2161" s="268">
        <v>2</v>
      </c>
      <c r="G2161" s="359"/>
      <c r="H2161" s="359"/>
      <c r="I2161" s="330"/>
      <c r="J2161" s="330"/>
      <c r="K2161" s="330"/>
      <c r="L2161" s="330"/>
      <c r="M2161" s="591"/>
      <c r="N2161" s="340"/>
    </row>
    <row r="2162" spans="1:14" ht="9.75" customHeight="1">
      <c r="A2162" s="394"/>
      <c r="B2162" s="272"/>
      <c r="C2162" s="236"/>
      <c r="D2162" s="366"/>
      <c r="E2162" s="267">
        <v>549.6</v>
      </c>
      <c r="F2162" s="268" t="s">
        <v>258</v>
      </c>
      <c r="G2162" s="359"/>
      <c r="H2162" s="359"/>
      <c r="I2162" s="330"/>
      <c r="J2162" s="330"/>
      <c r="K2162" s="330"/>
      <c r="L2162" s="330"/>
      <c r="M2162" s="591"/>
      <c r="N2162" s="340"/>
    </row>
    <row r="2163" spans="1:14" ht="11.25" customHeight="1">
      <c r="A2163" s="394"/>
      <c r="B2163" s="272"/>
      <c r="C2163" s="236"/>
      <c r="D2163" s="366"/>
      <c r="E2163" s="267">
        <v>604.6</v>
      </c>
      <c r="F2163" s="268">
        <v>3</v>
      </c>
      <c r="G2163" s="359"/>
      <c r="H2163" s="359"/>
      <c r="I2163" s="330"/>
      <c r="J2163" s="330"/>
      <c r="K2163" s="330"/>
      <c r="L2163" s="330"/>
      <c r="M2163" s="591"/>
      <c r="N2163" s="340"/>
    </row>
    <row r="2164" spans="1:14" ht="9.75" customHeight="1">
      <c r="A2164" s="394"/>
      <c r="B2164" s="272"/>
      <c r="C2164" s="236"/>
      <c r="D2164" s="366"/>
      <c r="E2164" s="267">
        <f>1923.6+15</f>
        <v>1938.6</v>
      </c>
      <c r="F2164" s="268">
        <v>4</v>
      </c>
      <c r="G2164" s="359"/>
      <c r="H2164" s="359"/>
      <c r="I2164" s="330"/>
      <c r="J2164" s="330"/>
      <c r="K2164" s="330"/>
      <c r="L2164" s="330"/>
      <c r="M2164" s="591"/>
      <c r="N2164" s="340"/>
    </row>
    <row r="2165" spans="1:14" ht="11.25" customHeight="1">
      <c r="A2165" s="394"/>
      <c r="B2165" s="272"/>
      <c r="C2165" s="236"/>
      <c r="D2165" s="366"/>
      <c r="E2165" s="267">
        <f>SUM(E2160+E2161+E2163+E2164)</f>
        <v>11296</v>
      </c>
      <c r="F2165" s="268">
        <v>5</v>
      </c>
      <c r="G2165" s="359"/>
      <c r="H2165" s="359"/>
      <c r="I2165" s="330"/>
      <c r="J2165" s="330"/>
      <c r="K2165" s="330"/>
      <c r="L2165" s="330"/>
      <c r="M2165" s="591"/>
      <c r="N2165" s="340"/>
    </row>
    <row r="2166" spans="1:14" ht="10.5" customHeight="1">
      <c r="A2166" s="394"/>
      <c r="B2166" s="355"/>
      <c r="C2166" s="357"/>
      <c r="D2166" s="366">
        <v>2015</v>
      </c>
      <c r="E2166" s="267">
        <f>2198.4+2340+128.4+3200</f>
        <v>7866.799999999999</v>
      </c>
      <c r="F2166" s="268">
        <v>1</v>
      </c>
      <c r="G2166" s="359">
        <f>0.89+0.039</f>
        <v>0.929</v>
      </c>
      <c r="H2166" s="359">
        <f>907.97+214.5</f>
        <v>1122.47</v>
      </c>
      <c r="I2166" s="330">
        <v>0.746</v>
      </c>
      <c r="J2166" s="330"/>
      <c r="K2166" s="330"/>
      <c r="L2166" s="330"/>
      <c r="M2166" s="591">
        <f>0.2+0.223</f>
        <v>0.42300000000000004</v>
      </c>
      <c r="N2166" s="340"/>
    </row>
    <row r="2167" spans="1:14" ht="10.5" customHeight="1">
      <c r="A2167" s="394"/>
      <c r="B2167" s="355"/>
      <c r="C2167" s="357"/>
      <c r="D2167" s="366"/>
      <c r="E2167" s="214">
        <f>769.4+10+230</f>
        <v>1009.4</v>
      </c>
      <c r="F2167" s="268">
        <v>2</v>
      </c>
      <c r="G2167" s="359"/>
      <c r="H2167" s="359"/>
      <c r="I2167" s="330"/>
      <c r="J2167" s="330"/>
      <c r="K2167" s="330"/>
      <c r="L2167" s="330"/>
      <c r="M2167" s="591"/>
      <c r="N2167" s="340"/>
    </row>
    <row r="2168" spans="1:14" ht="10.5" customHeight="1">
      <c r="A2168" s="394"/>
      <c r="B2168" s="355"/>
      <c r="C2168" s="357"/>
      <c r="D2168" s="366"/>
      <c r="E2168" s="267">
        <v>549.6</v>
      </c>
      <c r="F2168" s="268" t="s">
        <v>258</v>
      </c>
      <c r="G2168" s="359"/>
      <c r="H2168" s="359"/>
      <c r="I2168" s="330"/>
      <c r="J2168" s="330"/>
      <c r="K2168" s="330"/>
      <c r="L2168" s="330"/>
      <c r="M2168" s="591"/>
      <c r="N2168" s="340"/>
    </row>
    <row r="2169" spans="1:14" ht="9.75" customHeight="1">
      <c r="A2169" s="394"/>
      <c r="B2169" s="355"/>
      <c r="C2169" s="357"/>
      <c r="D2169" s="366"/>
      <c r="E2169" s="267">
        <v>604.6</v>
      </c>
      <c r="F2169" s="268">
        <v>3</v>
      </c>
      <c r="G2169" s="359"/>
      <c r="H2169" s="359"/>
      <c r="I2169" s="330"/>
      <c r="J2169" s="330"/>
      <c r="K2169" s="330"/>
      <c r="L2169" s="330"/>
      <c r="M2169" s="591"/>
      <c r="N2169" s="340"/>
    </row>
    <row r="2170" spans="1:14" ht="10.5" customHeight="1">
      <c r="A2170" s="394"/>
      <c r="B2170" s="355"/>
      <c r="C2170" s="357"/>
      <c r="D2170" s="366"/>
      <c r="E2170" s="267">
        <f>1923.6+15</f>
        <v>1938.6</v>
      </c>
      <c r="F2170" s="268">
        <v>4</v>
      </c>
      <c r="G2170" s="359"/>
      <c r="H2170" s="359"/>
      <c r="I2170" s="330"/>
      <c r="J2170" s="330"/>
      <c r="K2170" s="330"/>
      <c r="L2170" s="330"/>
      <c r="M2170" s="591"/>
      <c r="N2170" s="340"/>
    </row>
    <row r="2171" spans="1:14" ht="10.5" customHeight="1">
      <c r="A2171" s="413"/>
      <c r="B2171" s="356"/>
      <c r="C2171" s="358"/>
      <c r="D2171" s="366"/>
      <c r="E2171" s="267">
        <f>SUM(E2166+E2167+E2169+E2170)</f>
        <v>11419.4</v>
      </c>
      <c r="F2171" s="268">
        <v>5</v>
      </c>
      <c r="G2171" s="359"/>
      <c r="H2171" s="359"/>
      <c r="I2171" s="330"/>
      <c r="J2171" s="330"/>
      <c r="K2171" s="330"/>
      <c r="L2171" s="330"/>
      <c r="M2171" s="591"/>
      <c r="N2171" s="340"/>
    </row>
    <row r="2172" spans="1:14" ht="21" customHeight="1">
      <c r="A2172" s="292">
        <v>163</v>
      </c>
      <c r="B2172" s="317" t="s">
        <v>276</v>
      </c>
      <c r="C2172" s="357" t="s">
        <v>277</v>
      </c>
      <c r="D2172" s="213" t="s">
        <v>120</v>
      </c>
      <c r="E2172" s="214">
        <v>100</v>
      </c>
      <c r="F2172" s="215">
        <v>3</v>
      </c>
      <c r="G2172" s="214">
        <f>SUM(G2173:G2175)</f>
        <v>0.03</v>
      </c>
      <c r="H2172" s="214">
        <f>SUM(H2173:H2175)</f>
        <v>65.1</v>
      </c>
      <c r="I2172" s="234"/>
      <c r="J2172" s="234"/>
      <c r="K2172" s="234"/>
      <c r="L2172" s="234">
        <f>SUM(L2173:L2175)</f>
        <v>0.093</v>
      </c>
      <c r="M2172" s="234"/>
      <c r="N2172" s="53"/>
    </row>
    <row r="2173" spans="1:14" ht="10.5" customHeight="1">
      <c r="A2173" s="700"/>
      <c r="B2173" s="299"/>
      <c r="C2173" s="357"/>
      <c r="D2173" s="213">
        <v>2011</v>
      </c>
      <c r="E2173" s="214">
        <v>100</v>
      </c>
      <c r="F2173" s="215">
        <v>3</v>
      </c>
      <c r="G2173" s="214">
        <v>0.01</v>
      </c>
      <c r="H2173" s="214">
        <v>21.7</v>
      </c>
      <c r="I2173" s="234"/>
      <c r="J2173" s="234"/>
      <c r="K2173" s="234"/>
      <c r="L2173" s="234">
        <v>0.031</v>
      </c>
      <c r="M2173" s="234"/>
      <c r="N2173" s="53"/>
    </row>
    <row r="2174" spans="1:14" ht="10.5" customHeight="1">
      <c r="A2174" s="700"/>
      <c r="B2174" s="299"/>
      <c r="C2174" s="357"/>
      <c r="D2174" s="213">
        <v>2012</v>
      </c>
      <c r="E2174" s="214"/>
      <c r="F2174" s="215"/>
      <c r="G2174" s="214">
        <v>0.01</v>
      </c>
      <c r="H2174" s="214">
        <v>21.7</v>
      </c>
      <c r="I2174" s="234"/>
      <c r="J2174" s="234"/>
      <c r="K2174" s="234"/>
      <c r="L2174" s="234">
        <v>0.031</v>
      </c>
      <c r="M2174" s="234"/>
      <c r="N2174" s="53"/>
    </row>
    <row r="2175" spans="1:14" ht="10.5" customHeight="1">
      <c r="A2175" s="290"/>
      <c r="B2175" s="352"/>
      <c r="C2175" s="357"/>
      <c r="D2175" s="213">
        <v>2013</v>
      </c>
      <c r="E2175" s="214"/>
      <c r="F2175" s="215"/>
      <c r="G2175" s="214">
        <v>0.01</v>
      </c>
      <c r="H2175" s="214">
        <v>21.7</v>
      </c>
      <c r="I2175" s="234"/>
      <c r="J2175" s="234"/>
      <c r="K2175" s="234"/>
      <c r="L2175" s="234">
        <v>0.031</v>
      </c>
      <c r="M2175" s="234"/>
      <c r="N2175" s="53"/>
    </row>
    <row r="2176" spans="1:14" ht="10.5" customHeight="1">
      <c r="A2176" s="115"/>
      <c r="B2176" s="86" t="s">
        <v>279</v>
      </c>
      <c r="C2176" s="86"/>
      <c r="D2176" s="367" t="s">
        <v>120</v>
      </c>
      <c r="E2176" s="116">
        <f>E2182+E2188+E2194+E2200+E2206</f>
        <v>40471.759999999995</v>
      </c>
      <c r="F2176" s="117">
        <v>1</v>
      </c>
      <c r="G2176" s="459">
        <f aca="true" t="shared" si="11" ref="G2176:M2176">SUM(G2182:G2211)</f>
        <v>345.57756</v>
      </c>
      <c r="H2176" s="459">
        <f t="shared" si="11"/>
        <v>325012.13</v>
      </c>
      <c r="I2176" s="442">
        <f t="shared" si="11"/>
        <v>20.244</v>
      </c>
      <c r="J2176" s="442">
        <f t="shared" si="11"/>
        <v>0.194</v>
      </c>
      <c r="K2176" s="442">
        <f t="shared" si="11"/>
        <v>479.71000000000004</v>
      </c>
      <c r="L2176" s="442">
        <f t="shared" si="11"/>
        <v>37.239000000000004</v>
      </c>
      <c r="M2176" s="442">
        <f t="shared" si="11"/>
        <v>3.9999999999999996</v>
      </c>
      <c r="N2176" s="442"/>
    </row>
    <row r="2177" spans="1:14" ht="10.5" customHeight="1">
      <c r="A2177" s="273"/>
      <c r="B2177" s="274"/>
      <c r="C2177" s="274"/>
      <c r="D2177" s="367"/>
      <c r="E2177" s="116">
        <f>E2183+E2189+E2195+E2201+E2207</f>
        <v>9234.13</v>
      </c>
      <c r="F2177" s="117">
        <v>2</v>
      </c>
      <c r="G2177" s="459"/>
      <c r="H2177" s="459"/>
      <c r="I2177" s="442"/>
      <c r="J2177" s="442"/>
      <c r="K2177" s="442"/>
      <c r="L2177" s="442"/>
      <c r="M2177" s="442"/>
      <c r="N2177" s="442"/>
    </row>
    <row r="2178" spans="1:14" ht="9.75" customHeight="1">
      <c r="A2178" s="273"/>
      <c r="B2178" s="274"/>
      <c r="C2178" s="274"/>
      <c r="D2178" s="367"/>
      <c r="E2178" s="116">
        <f>E2184+E2190+E2196+E2202+E2208</f>
        <v>3036</v>
      </c>
      <c r="F2178" s="117" t="s">
        <v>258</v>
      </c>
      <c r="G2178" s="459"/>
      <c r="H2178" s="459"/>
      <c r="I2178" s="442"/>
      <c r="J2178" s="442"/>
      <c r="K2178" s="442"/>
      <c r="L2178" s="442"/>
      <c r="M2178" s="442"/>
      <c r="N2178" s="442"/>
    </row>
    <row r="2179" spans="1:14" ht="9.75" customHeight="1">
      <c r="A2179" s="273"/>
      <c r="B2179" s="274"/>
      <c r="C2179" s="274"/>
      <c r="D2179" s="367"/>
      <c r="E2179" s="116">
        <f>E2185+E2191+E2197+E2203+E2209</f>
        <v>73166.4</v>
      </c>
      <c r="F2179" s="117">
        <v>3</v>
      </c>
      <c r="G2179" s="459"/>
      <c r="H2179" s="459"/>
      <c r="I2179" s="442"/>
      <c r="J2179" s="442"/>
      <c r="K2179" s="442"/>
      <c r="L2179" s="442"/>
      <c r="M2179" s="442"/>
      <c r="N2179" s="442"/>
    </row>
    <row r="2180" spans="1:14" ht="10.5" customHeight="1">
      <c r="A2180" s="273"/>
      <c r="B2180" s="274"/>
      <c r="C2180" s="274"/>
      <c r="D2180" s="367"/>
      <c r="E2180" s="116">
        <f>E2186+E2192+E2198+E2204+E2210</f>
        <v>98593.00000000001</v>
      </c>
      <c r="F2180" s="117">
        <v>4</v>
      </c>
      <c r="G2180" s="459"/>
      <c r="H2180" s="459"/>
      <c r="I2180" s="442"/>
      <c r="J2180" s="442"/>
      <c r="K2180" s="442"/>
      <c r="L2180" s="442"/>
      <c r="M2180" s="442"/>
      <c r="N2180" s="442"/>
    </row>
    <row r="2181" spans="1:14" ht="9.75" customHeight="1">
      <c r="A2181" s="273"/>
      <c r="B2181" s="274"/>
      <c r="C2181" s="274"/>
      <c r="D2181" s="367"/>
      <c r="E2181" s="116">
        <f>E2176+E2177+E2179+E2180</f>
        <v>221465.28999999998</v>
      </c>
      <c r="F2181" s="117">
        <v>5</v>
      </c>
      <c r="G2181" s="459"/>
      <c r="H2181" s="459"/>
      <c r="I2181" s="442"/>
      <c r="J2181" s="442"/>
      <c r="K2181" s="442"/>
      <c r="L2181" s="442"/>
      <c r="M2181" s="442"/>
      <c r="N2181" s="442"/>
    </row>
    <row r="2182" spans="1:14" ht="10.5" customHeight="1">
      <c r="A2182" s="273"/>
      <c r="B2182" s="274"/>
      <c r="C2182" s="274"/>
      <c r="D2182" s="370">
        <v>2011</v>
      </c>
      <c r="E2182" s="50">
        <v>3115.02</v>
      </c>
      <c r="F2182" s="51">
        <v>1</v>
      </c>
      <c r="G2182" s="437">
        <v>51.9</v>
      </c>
      <c r="H2182" s="437">
        <v>44459.32</v>
      </c>
      <c r="I2182" s="340">
        <v>9.248</v>
      </c>
      <c r="J2182" s="340">
        <v>0.032</v>
      </c>
      <c r="K2182" s="340">
        <v>54.459</v>
      </c>
      <c r="L2182" s="340">
        <v>0.51</v>
      </c>
      <c r="M2182" s="340">
        <v>0.392</v>
      </c>
      <c r="N2182" s="340"/>
    </row>
    <row r="2183" spans="1:14" ht="9.75" customHeight="1">
      <c r="A2183" s="273"/>
      <c r="B2183" s="274"/>
      <c r="C2183" s="274"/>
      <c r="D2183" s="370"/>
      <c r="E2183" s="50">
        <v>1687.58</v>
      </c>
      <c r="F2183" s="51">
        <v>2</v>
      </c>
      <c r="G2183" s="437"/>
      <c r="H2183" s="437"/>
      <c r="I2183" s="340"/>
      <c r="J2183" s="340"/>
      <c r="K2183" s="340"/>
      <c r="L2183" s="340"/>
      <c r="M2183" s="340"/>
      <c r="N2183" s="340"/>
    </row>
    <row r="2184" spans="1:14" ht="10.5" customHeight="1">
      <c r="A2184" s="273"/>
      <c r="B2184" s="274"/>
      <c r="C2184" s="274"/>
      <c r="D2184" s="370"/>
      <c r="E2184" s="50">
        <v>549.6</v>
      </c>
      <c r="F2184" s="51" t="s">
        <v>258</v>
      </c>
      <c r="G2184" s="437"/>
      <c r="H2184" s="437"/>
      <c r="I2184" s="340"/>
      <c r="J2184" s="340"/>
      <c r="K2184" s="340"/>
      <c r="L2184" s="340"/>
      <c r="M2184" s="340"/>
      <c r="N2184" s="340"/>
    </row>
    <row r="2185" spans="1:14" ht="9.75" customHeight="1">
      <c r="A2185" s="273"/>
      <c r="B2185" s="274"/>
      <c r="C2185" s="274"/>
      <c r="D2185" s="370"/>
      <c r="E2185" s="50">
        <v>2912.6</v>
      </c>
      <c r="F2185" s="51">
        <v>3</v>
      </c>
      <c r="G2185" s="437"/>
      <c r="H2185" s="437"/>
      <c r="I2185" s="340"/>
      <c r="J2185" s="340"/>
      <c r="K2185" s="340"/>
      <c r="L2185" s="340"/>
      <c r="M2185" s="340"/>
      <c r="N2185" s="340"/>
    </row>
    <row r="2186" spans="1:14" ht="10.5" customHeight="1">
      <c r="A2186" s="273"/>
      <c r="B2186" s="274"/>
      <c r="C2186" s="274"/>
      <c r="D2186" s="370"/>
      <c r="E2186" s="50">
        <v>64638.6</v>
      </c>
      <c r="F2186" s="51">
        <v>4</v>
      </c>
      <c r="G2186" s="437"/>
      <c r="H2186" s="437"/>
      <c r="I2186" s="340"/>
      <c r="J2186" s="340"/>
      <c r="K2186" s="340"/>
      <c r="L2186" s="340"/>
      <c r="M2186" s="340"/>
      <c r="N2186" s="340"/>
    </row>
    <row r="2187" spans="1:14" ht="9.75" customHeight="1">
      <c r="A2187" s="273"/>
      <c r="B2187" s="274"/>
      <c r="C2187" s="274"/>
      <c r="D2187" s="370"/>
      <c r="E2187" s="50">
        <f>E2182+E2183+E2185+E2186</f>
        <v>72353.8</v>
      </c>
      <c r="F2187" s="51">
        <v>5</v>
      </c>
      <c r="G2187" s="437"/>
      <c r="H2187" s="437"/>
      <c r="I2187" s="340"/>
      <c r="J2187" s="340"/>
      <c r="K2187" s="340"/>
      <c r="L2187" s="340"/>
      <c r="M2187" s="340"/>
      <c r="N2187" s="340"/>
    </row>
    <row r="2188" spans="1:14" ht="9.75" customHeight="1">
      <c r="A2188" s="701"/>
      <c r="B2188" s="287"/>
      <c r="C2188" s="287"/>
      <c r="D2188" s="371">
        <v>2012</v>
      </c>
      <c r="E2188" s="116">
        <f>E2082+E2111+E2147</f>
        <v>5303.34</v>
      </c>
      <c r="F2188" s="117">
        <v>1</v>
      </c>
      <c r="G2188" s="459">
        <f aca="true" t="shared" si="12" ref="G2188:M2188">G2051+G2061+G2071+G2082+G2098+G2111+G2147+G2174</f>
        <v>46.49999999999999</v>
      </c>
      <c r="H2188" s="459">
        <f t="shared" si="12"/>
        <v>35451.08</v>
      </c>
      <c r="I2188" s="442">
        <f t="shared" si="12"/>
        <v>2.749</v>
      </c>
      <c r="J2188" s="442">
        <f t="shared" si="12"/>
        <v>0.038</v>
      </c>
      <c r="K2188" s="442">
        <f t="shared" si="12"/>
        <v>57.45400000000001</v>
      </c>
      <c r="L2188" s="442">
        <f t="shared" si="12"/>
        <v>0.531</v>
      </c>
      <c r="M2188" s="442">
        <f t="shared" si="12"/>
        <v>0.306</v>
      </c>
      <c r="N2188" s="442"/>
    </row>
    <row r="2189" spans="1:14" ht="11.25" customHeight="1">
      <c r="A2189" s="415"/>
      <c r="B2189" s="288"/>
      <c r="C2189" s="288"/>
      <c r="D2189" s="347"/>
      <c r="E2189" s="116">
        <f>E2083+E2098+E2112+E2148</f>
        <v>1655.4</v>
      </c>
      <c r="F2189" s="117">
        <v>2</v>
      </c>
      <c r="G2189" s="459"/>
      <c r="H2189" s="459"/>
      <c r="I2189" s="442"/>
      <c r="J2189" s="442"/>
      <c r="K2189" s="442"/>
      <c r="L2189" s="442"/>
      <c r="M2189" s="442"/>
      <c r="N2189" s="442"/>
    </row>
    <row r="2190" spans="1:14" ht="10.5" customHeight="1">
      <c r="A2190" s="415"/>
      <c r="B2190" s="288"/>
      <c r="C2190" s="288"/>
      <c r="D2190" s="347"/>
      <c r="E2190" s="116">
        <v>621.6</v>
      </c>
      <c r="F2190" s="117" t="s">
        <v>258</v>
      </c>
      <c r="G2190" s="459"/>
      <c r="H2190" s="459"/>
      <c r="I2190" s="442"/>
      <c r="J2190" s="442"/>
      <c r="K2190" s="442"/>
      <c r="L2190" s="442"/>
      <c r="M2190" s="442"/>
      <c r="N2190" s="442"/>
    </row>
    <row r="2191" spans="1:14" ht="11.25" customHeight="1">
      <c r="A2191" s="415"/>
      <c r="B2191" s="288"/>
      <c r="C2191" s="288"/>
      <c r="D2191" s="347"/>
      <c r="E2191" s="116">
        <f>E2071+E2113+E2150</f>
        <v>2914.6</v>
      </c>
      <c r="F2191" s="117">
        <v>3</v>
      </c>
      <c r="G2191" s="459"/>
      <c r="H2191" s="459"/>
      <c r="I2191" s="442"/>
      <c r="J2191" s="442"/>
      <c r="K2191" s="442"/>
      <c r="L2191" s="442"/>
      <c r="M2191" s="442"/>
      <c r="N2191" s="442"/>
    </row>
    <row r="2192" spans="1:14" ht="10.5" customHeight="1">
      <c r="A2192" s="415"/>
      <c r="B2192" s="288"/>
      <c r="C2192" s="288"/>
      <c r="D2192" s="347"/>
      <c r="E2192" s="116">
        <f>E2061+E2114+E2151</f>
        <v>25638.6</v>
      </c>
      <c r="F2192" s="117">
        <v>4</v>
      </c>
      <c r="G2192" s="459"/>
      <c r="H2192" s="459"/>
      <c r="I2192" s="442"/>
      <c r="J2192" s="442"/>
      <c r="K2192" s="442"/>
      <c r="L2192" s="442"/>
      <c r="M2192" s="442"/>
      <c r="N2192" s="442"/>
    </row>
    <row r="2193" spans="1:14" ht="11.25" customHeight="1">
      <c r="A2193" s="415"/>
      <c r="B2193" s="288"/>
      <c r="C2193" s="288"/>
      <c r="D2193" s="347"/>
      <c r="E2193" s="116">
        <f>E2188+E2189+E2191+E2192</f>
        <v>35511.94</v>
      </c>
      <c r="F2193" s="117">
        <v>5</v>
      </c>
      <c r="G2193" s="459"/>
      <c r="H2193" s="459"/>
      <c r="I2193" s="442"/>
      <c r="J2193" s="442"/>
      <c r="K2193" s="442"/>
      <c r="L2193" s="442"/>
      <c r="M2193" s="442"/>
      <c r="N2193" s="442"/>
    </row>
    <row r="2194" spans="1:14" ht="10.5" customHeight="1">
      <c r="A2194" s="415"/>
      <c r="B2194" s="288"/>
      <c r="C2194" s="288"/>
      <c r="D2194" s="369">
        <v>2013</v>
      </c>
      <c r="E2194" s="50">
        <f>E2085+E2122+E2154</f>
        <v>15163.2</v>
      </c>
      <c r="F2194" s="51">
        <v>1</v>
      </c>
      <c r="G2194" s="437">
        <f aca="true" t="shared" si="13" ref="G2194:M2194">G2052+G2056+G2062+G2072+G2085+G2099+G2122+G2154+G2175</f>
        <v>77.37752</v>
      </c>
      <c r="H2194" s="437">
        <f t="shared" si="13"/>
        <v>53500.26</v>
      </c>
      <c r="I2194" s="340">
        <f t="shared" si="13"/>
        <v>2.75</v>
      </c>
      <c r="J2194" s="340">
        <f t="shared" si="13"/>
        <v>0.038</v>
      </c>
      <c r="K2194" s="340">
        <f t="shared" si="13"/>
        <v>121.723</v>
      </c>
      <c r="L2194" s="340">
        <f t="shared" si="13"/>
        <v>12.806</v>
      </c>
      <c r="M2194" s="340">
        <f t="shared" si="13"/>
        <v>1.639</v>
      </c>
      <c r="N2194" s="340"/>
    </row>
    <row r="2195" spans="1:14" ht="10.5" customHeight="1">
      <c r="A2195" s="415"/>
      <c r="B2195" s="288"/>
      <c r="C2195" s="288"/>
      <c r="D2195" s="369"/>
      <c r="E2195" s="50">
        <f>E2086+E2099+E2123+E2155</f>
        <v>2588.35</v>
      </c>
      <c r="F2195" s="51">
        <v>2</v>
      </c>
      <c r="G2195" s="437"/>
      <c r="H2195" s="437"/>
      <c r="I2195" s="340"/>
      <c r="J2195" s="340"/>
      <c r="K2195" s="340"/>
      <c r="L2195" s="340"/>
      <c r="M2195" s="340"/>
      <c r="N2195" s="340"/>
    </row>
    <row r="2196" spans="1:14" ht="9.75" customHeight="1">
      <c r="A2196" s="415"/>
      <c r="B2196" s="288"/>
      <c r="C2196" s="288"/>
      <c r="D2196" s="369"/>
      <c r="E2196" s="50">
        <v>621.6</v>
      </c>
      <c r="F2196" s="51" t="s">
        <v>258</v>
      </c>
      <c r="G2196" s="437"/>
      <c r="H2196" s="437"/>
      <c r="I2196" s="340"/>
      <c r="J2196" s="340"/>
      <c r="K2196" s="340"/>
      <c r="L2196" s="340"/>
      <c r="M2196" s="340"/>
      <c r="N2196" s="340"/>
    </row>
    <row r="2197" spans="1:14" ht="10.5" customHeight="1">
      <c r="A2197" s="415"/>
      <c r="B2197" s="288"/>
      <c r="C2197" s="288"/>
      <c r="D2197" s="369"/>
      <c r="E2197" s="50">
        <f>E2056+E2072+E2124+E2157</f>
        <v>21394.6</v>
      </c>
      <c r="F2197" s="51">
        <v>3</v>
      </c>
      <c r="G2197" s="437"/>
      <c r="H2197" s="437"/>
      <c r="I2197" s="340"/>
      <c r="J2197" s="340"/>
      <c r="K2197" s="340"/>
      <c r="L2197" s="340"/>
      <c r="M2197" s="340"/>
      <c r="N2197" s="340"/>
    </row>
    <row r="2198" spans="1:14" ht="10.5" customHeight="1">
      <c r="A2198" s="415"/>
      <c r="B2198" s="288"/>
      <c r="C2198" s="288"/>
      <c r="D2198" s="369"/>
      <c r="E2198" s="50">
        <f>E2087+E2125+E2164</f>
        <v>3038.6</v>
      </c>
      <c r="F2198" s="51">
        <v>4</v>
      </c>
      <c r="G2198" s="437"/>
      <c r="H2198" s="437"/>
      <c r="I2198" s="340"/>
      <c r="J2198" s="340"/>
      <c r="K2198" s="340"/>
      <c r="L2198" s="340"/>
      <c r="M2198" s="340"/>
      <c r="N2198" s="340"/>
    </row>
    <row r="2199" spans="1:14" ht="10.5" customHeight="1">
      <c r="A2199" s="415"/>
      <c r="B2199" s="288"/>
      <c r="C2199" s="288"/>
      <c r="D2199" s="369"/>
      <c r="E2199" s="50">
        <f>E2194+E2195+E2197+E2198</f>
        <v>42184.74999999999</v>
      </c>
      <c r="F2199" s="51">
        <v>5</v>
      </c>
      <c r="G2199" s="437"/>
      <c r="H2199" s="437"/>
      <c r="I2199" s="340"/>
      <c r="J2199" s="340"/>
      <c r="K2199" s="340"/>
      <c r="L2199" s="340"/>
      <c r="M2199" s="340"/>
      <c r="N2199" s="340"/>
    </row>
    <row r="2200" spans="1:14" ht="11.25" customHeight="1">
      <c r="A2200" s="415"/>
      <c r="B2200" s="288"/>
      <c r="C2200" s="288"/>
      <c r="D2200" s="369">
        <v>2014</v>
      </c>
      <c r="E2200" s="50">
        <f>E2089+E2160</f>
        <v>8267.4</v>
      </c>
      <c r="F2200" s="51">
        <v>1</v>
      </c>
      <c r="G2200" s="459">
        <f aca="true" t="shared" si="14" ref="G2200:M2200">G2053+G2057+G2063+G2073+G2089+G2100+G2127+G2160</f>
        <v>77.52352</v>
      </c>
      <c r="H2200" s="459">
        <f t="shared" si="14"/>
        <v>95477.92</v>
      </c>
      <c r="I2200" s="442">
        <f t="shared" si="14"/>
        <v>2.751</v>
      </c>
      <c r="J2200" s="442">
        <f t="shared" si="14"/>
        <v>0.043</v>
      </c>
      <c r="K2200" s="442">
        <f t="shared" si="14"/>
        <v>122.557</v>
      </c>
      <c r="L2200" s="442">
        <f t="shared" si="14"/>
        <v>11.701</v>
      </c>
      <c r="M2200" s="442">
        <f t="shared" si="14"/>
        <v>0.739</v>
      </c>
      <c r="N2200" s="340"/>
    </row>
    <row r="2201" spans="1:14" ht="11.25" customHeight="1">
      <c r="A2201" s="415"/>
      <c r="B2201" s="288"/>
      <c r="C2201" s="288"/>
      <c r="D2201" s="369"/>
      <c r="E2201" s="50">
        <f>E2090+E2100+E2127+E2161</f>
        <v>1652.4</v>
      </c>
      <c r="F2201" s="51">
        <v>2</v>
      </c>
      <c r="G2201" s="459"/>
      <c r="H2201" s="459"/>
      <c r="I2201" s="442"/>
      <c r="J2201" s="442"/>
      <c r="K2201" s="442"/>
      <c r="L2201" s="442"/>
      <c r="M2201" s="442"/>
      <c r="N2201" s="340"/>
    </row>
    <row r="2202" spans="1:14" ht="10.5" customHeight="1">
      <c r="A2202" s="415"/>
      <c r="B2202" s="288"/>
      <c r="C2202" s="288"/>
      <c r="D2202" s="369"/>
      <c r="E2202" s="50">
        <v>621.6</v>
      </c>
      <c r="F2202" s="51" t="s">
        <v>258</v>
      </c>
      <c r="G2202" s="459"/>
      <c r="H2202" s="459"/>
      <c r="I2202" s="442"/>
      <c r="J2202" s="442"/>
      <c r="K2202" s="442"/>
      <c r="L2202" s="442"/>
      <c r="M2202" s="442"/>
      <c r="N2202" s="340"/>
    </row>
    <row r="2203" spans="1:14" ht="11.25" customHeight="1">
      <c r="A2203" s="415"/>
      <c r="B2203" s="288"/>
      <c r="C2203" s="288"/>
      <c r="D2203" s="369"/>
      <c r="E2203" s="50">
        <f>E2057+E2073+E2128+E2163</f>
        <v>22979.3</v>
      </c>
      <c r="F2203" s="51">
        <v>3</v>
      </c>
      <c r="G2203" s="459"/>
      <c r="H2203" s="459"/>
      <c r="I2203" s="442"/>
      <c r="J2203" s="442"/>
      <c r="K2203" s="442"/>
      <c r="L2203" s="442"/>
      <c r="M2203" s="442"/>
      <c r="N2203" s="340"/>
    </row>
    <row r="2204" spans="1:14" ht="10.5" customHeight="1">
      <c r="A2204" s="415"/>
      <c r="B2204" s="288"/>
      <c r="C2204" s="288"/>
      <c r="D2204" s="369"/>
      <c r="E2204" s="50">
        <f>E2129+E2164</f>
        <v>2638.6</v>
      </c>
      <c r="F2204" s="51">
        <v>4</v>
      </c>
      <c r="G2204" s="459"/>
      <c r="H2204" s="459"/>
      <c r="I2204" s="442"/>
      <c r="J2204" s="442"/>
      <c r="K2204" s="442"/>
      <c r="L2204" s="442"/>
      <c r="M2204" s="442"/>
      <c r="N2204" s="340"/>
    </row>
    <row r="2205" spans="1:14" ht="11.25" customHeight="1">
      <c r="A2205" s="415"/>
      <c r="B2205" s="288"/>
      <c r="C2205" s="288"/>
      <c r="D2205" s="369"/>
      <c r="E2205" s="50">
        <f>E2200+E2201+E2203+E2204</f>
        <v>35537.7</v>
      </c>
      <c r="F2205" s="51">
        <v>5</v>
      </c>
      <c r="G2205" s="459"/>
      <c r="H2205" s="459"/>
      <c r="I2205" s="442"/>
      <c r="J2205" s="442"/>
      <c r="K2205" s="442"/>
      <c r="L2205" s="442"/>
      <c r="M2205" s="442"/>
      <c r="N2205" s="340"/>
    </row>
    <row r="2206" spans="1:14" ht="11.25" customHeight="1">
      <c r="A2206" s="415"/>
      <c r="B2206" s="288"/>
      <c r="C2206" s="288"/>
      <c r="D2206" s="369">
        <v>2015</v>
      </c>
      <c r="E2206" s="50">
        <f>E2092+E2166</f>
        <v>8622.8</v>
      </c>
      <c r="F2206" s="51">
        <v>1</v>
      </c>
      <c r="G2206" s="459">
        <f aca="true" t="shared" si="15" ref="G2206:M2206">G2054+G2058+G2064+G2074+G2092+G2101+G2131+G2166</f>
        <v>92.27652</v>
      </c>
      <c r="H2206" s="459">
        <f t="shared" si="15"/>
        <v>96123.55000000002</v>
      </c>
      <c r="I2206" s="442">
        <f t="shared" si="15"/>
        <v>2.746</v>
      </c>
      <c r="J2206" s="442">
        <f t="shared" si="15"/>
        <v>0.043</v>
      </c>
      <c r="K2206" s="442">
        <f t="shared" si="15"/>
        <v>123.51700000000001</v>
      </c>
      <c r="L2206" s="442">
        <f t="shared" si="15"/>
        <v>11.690999999999999</v>
      </c>
      <c r="M2206" s="442">
        <f t="shared" si="15"/>
        <v>0.924</v>
      </c>
      <c r="N2206" s="340"/>
    </row>
    <row r="2207" spans="1:14" ht="10.5" customHeight="1">
      <c r="A2207" s="415"/>
      <c r="B2207" s="288"/>
      <c r="C2207" s="288"/>
      <c r="D2207" s="369"/>
      <c r="E2207" s="50">
        <f>E2093+E2101+E2131+E2167</f>
        <v>1650.4</v>
      </c>
      <c r="F2207" s="51">
        <v>2</v>
      </c>
      <c r="G2207" s="459"/>
      <c r="H2207" s="459"/>
      <c r="I2207" s="442"/>
      <c r="J2207" s="442"/>
      <c r="K2207" s="442"/>
      <c r="L2207" s="442"/>
      <c r="M2207" s="442"/>
      <c r="N2207" s="340"/>
    </row>
    <row r="2208" spans="1:14" ht="10.5" customHeight="1">
      <c r="A2208" s="415"/>
      <c r="B2208" s="288"/>
      <c r="C2208" s="288"/>
      <c r="D2208" s="369"/>
      <c r="E2208" s="50">
        <v>621.6</v>
      </c>
      <c r="F2208" s="51" t="s">
        <v>258</v>
      </c>
      <c r="G2208" s="459"/>
      <c r="H2208" s="459"/>
      <c r="I2208" s="442"/>
      <c r="J2208" s="442"/>
      <c r="K2208" s="442"/>
      <c r="L2208" s="442"/>
      <c r="M2208" s="442"/>
      <c r="N2208" s="340"/>
    </row>
    <row r="2209" spans="1:14" ht="10.5" customHeight="1">
      <c r="A2209" s="415"/>
      <c r="B2209" s="288"/>
      <c r="C2209" s="288"/>
      <c r="D2209" s="369"/>
      <c r="E2209" s="50">
        <f>E2058+E2074+E2132+E2169</f>
        <v>22965.3</v>
      </c>
      <c r="F2209" s="51">
        <v>3</v>
      </c>
      <c r="G2209" s="459"/>
      <c r="H2209" s="459"/>
      <c r="I2209" s="442"/>
      <c r="J2209" s="442"/>
      <c r="K2209" s="442"/>
      <c r="L2209" s="442"/>
      <c r="M2209" s="442"/>
      <c r="N2209" s="340"/>
    </row>
    <row r="2210" spans="1:14" ht="10.5" customHeight="1">
      <c r="A2210" s="415"/>
      <c r="B2210" s="288"/>
      <c r="C2210" s="288"/>
      <c r="D2210" s="369"/>
      <c r="E2210" s="50">
        <f>E2133+E2170</f>
        <v>2638.6</v>
      </c>
      <c r="F2210" s="51">
        <v>4</v>
      </c>
      <c r="G2210" s="459"/>
      <c r="H2210" s="459"/>
      <c r="I2210" s="442"/>
      <c r="J2210" s="442"/>
      <c r="K2210" s="442"/>
      <c r="L2210" s="442"/>
      <c r="M2210" s="442"/>
      <c r="N2210" s="340"/>
    </row>
    <row r="2211" spans="1:14" ht="10.5" customHeight="1">
      <c r="A2211" s="416"/>
      <c r="B2211" s="289"/>
      <c r="C2211" s="289"/>
      <c r="D2211" s="369"/>
      <c r="E2211" s="50">
        <f>E2206+E2207+E2209+E2210</f>
        <v>35877.1</v>
      </c>
      <c r="F2211" s="51">
        <v>5</v>
      </c>
      <c r="G2211" s="459"/>
      <c r="H2211" s="459"/>
      <c r="I2211" s="442"/>
      <c r="J2211" s="442"/>
      <c r="K2211" s="442"/>
      <c r="L2211" s="442"/>
      <c r="M2211" s="442"/>
      <c r="N2211" s="340"/>
    </row>
    <row r="2212" spans="1:14" ht="12.75" customHeight="1">
      <c r="A2212" s="612" t="s">
        <v>284</v>
      </c>
      <c r="B2212" s="613"/>
      <c r="C2212" s="613"/>
      <c r="D2212" s="614"/>
      <c r="E2212" s="614"/>
      <c r="F2212" s="614"/>
      <c r="G2212" s="614"/>
      <c r="H2212" s="614"/>
      <c r="I2212" s="614"/>
      <c r="J2212" s="614"/>
      <c r="K2212" s="614"/>
      <c r="L2212" s="614"/>
      <c r="M2212" s="614"/>
      <c r="N2212" s="614"/>
    </row>
    <row r="2213" spans="1:14" ht="11.25" customHeight="1">
      <c r="A2213" s="290">
        <v>1</v>
      </c>
      <c r="B2213" s="352" t="s">
        <v>280</v>
      </c>
      <c r="C2213" s="368" t="s">
        <v>414</v>
      </c>
      <c r="D2213" s="368" t="s">
        <v>120</v>
      </c>
      <c r="E2213" s="214">
        <f>E2218+E2223+E2227+E2231+E2235</f>
        <v>26364.96</v>
      </c>
      <c r="F2213" s="215">
        <v>1</v>
      </c>
      <c r="G2213" s="337">
        <f>SUM(G2218:G2238)</f>
        <v>8.442</v>
      </c>
      <c r="H2213" s="337">
        <f>SUM(H2218:H2238)</f>
        <v>8047.91</v>
      </c>
      <c r="I2213" s="329">
        <f>SUM(I2218:I2238)</f>
        <v>1.413</v>
      </c>
      <c r="J2213" s="329"/>
      <c r="K2213" s="329">
        <f>SUM(K2218:K2238)</f>
        <v>9.962</v>
      </c>
      <c r="L2213" s="329">
        <f>SUM(L2218:L2238)</f>
        <v>0.1</v>
      </c>
      <c r="M2213" s="329"/>
      <c r="N2213" s="329"/>
    </row>
    <row r="2214" spans="1:14" ht="11.25" customHeight="1">
      <c r="A2214" s="291"/>
      <c r="B2214" s="353"/>
      <c r="C2214" s="351"/>
      <c r="D2214" s="368"/>
      <c r="E2214" s="214">
        <f>E2219+E2224+E2228+E2232+E2236</f>
        <v>7253</v>
      </c>
      <c r="F2214" s="215">
        <v>2</v>
      </c>
      <c r="G2214" s="337"/>
      <c r="H2214" s="337"/>
      <c r="I2214" s="329"/>
      <c r="J2214" s="329"/>
      <c r="K2214" s="329"/>
      <c r="L2214" s="329"/>
      <c r="M2214" s="329"/>
      <c r="N2214" s="329"/>
    </row>
    <row r="2215" spans="1:14" ht="11.25" customHeight="1">
      <c r="A2215" s="291"/>
      <c r="B2215" s="353"/>
      <c r="C2215" s="351"/>
      <c r="D2215" s="368"/>
      <c r="E2215" s="214">
        <f>E2220</f>
        <v>850</v>
      </c>
      <c r="F2215" s="215" t="s">
        <v>258</v>
      </c>
      <c r="G2215" s="337"/>
      <c r="H2215" s="337"/>
      <c r="I2215" s="329"/>
      <c r="J2215" s="329"/>
      <c r="K2215" s="329"/>
      <c r="L2215" s="329"/>
      <c r="M2215" s="329"/>
      <c r="N2215" s="329"/>
    </row>
    <row r="2216" spans="1:14" ht="11.25" customHeight="1">
      <c r="A2216" s="291"/>
      <c r="B2216" s="353"/>
      <c r="C2216" s="351"/>
      <c r="D2216" s="368"/>
      <c r="E2216" s="214">
        <f>E2221+E2229+E2233+E2237</f>
        <v>10000</v>
      </c>
      <c r="F2216" s="215">
        <v>4</v>
      </c>
      <c r="G2216" s="337"/>
      <c r="H2216" s="337"/>
      <c r="I2216" s="329"/>
      <c r="J2216" s="329"/>
      <c r="K2216" s="329"/>
      <c r="L2216" s="329"/>
      <c r="M2216" s="329"/>
      <c r="N2216" s="329"/>
    </row>
    <row r="2217" spans="1:14" ht="11.25" customHeight="1">
      <c r="A2217" s="291"/>
      <c r="B2217" s="353"/>
      <c r="C2217" s="351"/>
      <c r="D2217" s="368"/>
      <c r="E2217" s="214">
        <f>E2213+E2214+E2216</f>
        <v>43617.96</v>
      </c>
      <c r="F2217" s="215">
        <v>5</v>
      </c>
      <c r="G2217" s="337"/>
      <c r="H2217" s="337"/>
      <c r="I2217" s="329"/>
      <c r="J2217" s="329"/>
      <c r="K2217" s="329"/>
      <c r="L2217" s="329"/>
      <c r="M2217" s="329"/>
      <c r="N2217" s="329"/>
    </row>
    <row r="2218" spans="1:14" ht="11.25" customHeight="1">
      <c r="A2218" s="291"/>
      <c r="B2218" s="353"/>
      <c r="C2218" s="351"/>
      <c r="D2218" s="368">
        <v>2011</v>
      </c>
      <c r="E2218" s="214">
        <f>5900+2500</f>
        <v>8400</v>
      </c>
      <c r="F2218" s="215">
        <v>1</v>
      </c>
      <c r="G2218" s="337">
        <v>2.98</v>
      </c>
      <c r="H2218" s="337">
        <v>3864.1</v>
      </c>
      <c r="I2218" s="329">
        <v>1.413</v>
      </c>
      <c r="J2218" s="329"/>
      <c r="K2218" s="329">
        <v>1.744</v>
      </c>
      <c r="L2218" s="329">
        <v>0.1</v>
      </c>
      <c r="M2218" s="329"/>
      <c r="N2218" s="329"/>
    </row>
    <row r="2219" spans="1:14" ht="10.5" customHeight="1">
      <c r="A2219" s="291"/>
      <c r="B2219" s="353"/>
      <c r="C2219" s="351"/>
      <c r="D2219" s="368"/>
      <c r="E2219" s="214">
        <f>130+1100+574.6</f>
        <v>1804.6</v>
      </c>
      <c r="F2219" s="215">
        <v>2</v>
      </c>
      <c r="G2219" s="337"/>
      <c r="H2219" s="337"/>
      <c r="I2219" s="329"/>
      <c r="J2219" s="329"/>
      <c r="K2219" s="329"/>
      <c r="L2219" s="329"/>
      <c r="M2219" s="329"/>
      <c r="N2219" s="329"/>
    </row>
    <row r="2220" spans="1:14" ht="11.25" customHeight="1">
      <c r="A2220" s="291"/>
      <c r="B2220" s="353"/>
      <c r="C2220" s="351"/>
      <c r="D2220" s="368"/>
      <c r="E2220" s="214">
        <v>850</v>
      </c>
      <c r="F2220" s="215" t="s">
        <v>258</v>
      </c>
      <c r="G2220" s="337"/>
      <c r="H2220" s="337"/>
      <c r="I2220" s="329"/>
      <c r="J2220" s="329"/>
      <c r="K2220" s="329"/>
      <c r="L2220" s="329"/>
      <c r="M2220" s="329"/>
      <c r="N2220" s="329"/>
    </row>
    <row r="2221" spans="1:14" ht="10.5" customHeight="1">
      <c r="A2221" s="291"/>
      <c r="B2221" s="353"/>
      <c r="C2221" s="351"/>
      <c r="D2221" s="368"/>
      <c r="E2221" s="214">
        <f>2500</f>
        <v>2500</v>
      </c>
      <c r="F2221" s="215">
        <v>4</v>
      </c>
      <c r="G2221" s="337"/>
      <c r="H2221" s="337"/>
      <c r="I2221" s="329"/>
      <c r="J2221" s="329"/>
      <c r="K2221" s="329"/>
      <c r="L2221" s="329"/>
      <c r="M2221" s="329"/>
      <c r="N2221" s="329"/>
    </row>
    <row r="2222" spans="1:14" ht="11.25" customHeight="1">
      <c r="A2222" s="292"/>
      <c r="B2222" s="354"/>
      <c r="C2222" s="351"/>
      <c r="D2222" s="368"/>
      <c r="E2222" s="214">
        <f>E2218+E2219+E2221</f>
        <v>12704.6</v>
      </c>
      <c r="F2222" s="215">
        <v>5</v>
      </c>
      <c r="G2222" s="337"/>
      <c r="H2222" s="337"/>
      <c r="I2222" s="329"/>
      <c r="J2222" s="329"/>
      <c r="K2222" s="329"/>
      <c r="L2222" s="329"/>
      <c r="M2222" s="329"/>
      <c r="N2222" s="329"/>
    </row>
    <row r="2223" spans="1:14" ht="11.25" customHeight="1">
      <c r="A2223" s="290"/>
      <c r="B2223" s="238"/>
      <c r="C2223" s="368" t="s">
        <v>415</v>
      </c>
      <c r="D2223" s="368">
        <v>2012</v>
      </c>
      <c r="E2223" s="214">
        <f>565.04+2500</f>
        <v>3065.04</v>
      </c>
      <c r="F2223" s="215">
        <v>1</v>
      </c>
      <c r="G2223" s="337">
        <v>1.31</v>
      </c>
      <c r="H2223" s="337">
        <v>987.1</v>
      </c>
      <c r="I2223" s="329"/>
      <c r="J2223" s="329"/>
      <c r="K2223" s="329">
        <v>1.744</v>
      </c>
      <c r="L2223" s="329"/>
      <c r="M2223" s="329"/>
      <c r="N2223" s="329"/>
    </row>
    <row r="2224" spans="1:14" ht="11.25" customHeight="1">
      <c r="A2224" s="291"/>
      <c r="B2224" s="239"/>
      <c r="C2224" s="351"/>
      <c r="D2224" s="368"/>
      <c r="E2224" s="214">
        <f>150+574.6</f>
        <v>724.6</v>
      </c>
      <c r="F2224" s="215">
        <v>2</v>
      </c>
      <c r="G2224" s="337"/>
      <c r="H2224" s="337"/>
      <c r="I2224" s="329"/>
      <c r="J2224" s="329"/>
      <c r="K2224" s="329"/>
      <c r="L2224" s="329"/>
      <c r="M2224" s="329"/>
      <c r="N2224" s="329"/>
    </row>
    <row r="2225" spans="1:14" ht="9.75" customHeight="1">
      <c r="A2225" s="291"/>
      <c r="B2225" s="239"/>
      <c r="C2225" s="351"/>
      <c r="D2225" s="368"/>
      <c r="E2225" s="214">
        <f>2500</f>
        <v>2500</v>
      </c>
      <c r="F2225" s="215">
        <v>4</v>
      </c>
      <c r="G2225" s="337"/>
      <c r="H2225" s="337"/>
      <c r="I2225" s="329"/>
      <c r="J2225" s="329"/>
      <c r="K2225" s="329"/>
      <c r="L2225" s="329"/>
      <c r="M2225" s="329"/>
      <c r="N2225" s="329"/>
    </row>
    <row r="2226" spans="1:14" ht="10.5" customHeight="1">
      <c r="A2226" s="291"/>
      <c r="B2226" s="239"/>
      <c r="C2226" s="351"/>
      <c r="D2226" s="368"/>
      <c r="E2226" s="214">
        <f>SUM(E2223:E2225)</f>
        <v>6289.639999999999</v>
      </c>
      <c r="F2226" s="215">
        <v>5</v>
      </c>
      <c r="G2226" s="337"/>
      <c r="H2226" s="337"/>
      <c r="I2226" s="329"/>
      <c r="J2226" s="329"/>
      <c r="K2226" s="329"/>
      <c r="L2226" s="329"/>
      <c r="M2226" s="329"/>
      <c r="N2226" s="329"/>
    </row>
    <row r="2227" spans="1:14" ht="11.25" customHeight="1">
      <c r="A2227" s="291"/>
      <c r="B2227" s="239"/>
      <c r="C2227" s="351"/>
      <c r="D2227" s="368">
        <v>2013</v>
      </c>
      <c r="E2227" s="214">
        <f>1074.48+2500+70+143.48+1800+120+170+1880+200+80</f>
        <v>8037.96</v>
      </c>
      <c r="F2227" s="215">
        <v>1</v>
      </c>
      <c r="G2227" s="337">
        <f>1.31+0.08+0.07</f>
        <v>1.4600000000000002</v>
      </c>
      <c r="H2227" s="337">
        <f>987.1+70.2+72.91</f>
        <v>1130.21</v>
      </c>
      <c r="I2227" s="329"/>
      <c r="J2227" s="329"/>
      <c r="K2227" s="329">
        <f>1.744+0.1+0.98</f>
        <v>2.824</v>
      </c>
      <c r="L2227" s="329"/>
      <c r="M2227" s="329"/>
      <c r="N2227" s="329"/>
    </row>
    <row r="2228" spans="1:14" ht="10.5" customHeight="1">
      <c r="A2228" s="291"/>
      <c r="B2228" s="239"/>
      <c r="C2228" s="351"/>
      <c r="D2228" s="368"/>
      <c r="E2228" s="214">
        <f>574.6+500+400+1500+200+15+20+150+20+10</f>
        <v>3389.6</v>
      </c>
      <c r="F2228" s="215">
        <v>2</v>
      </c>
      <c r="G2228" s="337"/>
      <c r="H2228" s="337"/>
      <c r="I2228" s="329"/>
      <c r="J2228" s="329"/>
      <c r="K2228" s="329"/>
      <c r="L2228" s="329"/>
      <c r="M2228" s="329"/>
      <c r="N2228" s="329"/>
    </row>
    <row r="2229" spans="1:14" ht="10.5" customHeight="1">
      <c r="A2229" s="291"/>
      <c r="B2229" s="239"/>
      <c r="C2229" s="351"/>
      <c r="D2229" s="368"/>
      <c r="E2229" s="214">
        <v>2500</v>
      </c>
      <c r="F2229" s="215">
        <v>4</v>
      </c>
      <c r="G2229" s="337"/>
      <c r="H2229" s="337"/>
      <c r="I2229" s="329"/>
      <c r="J2229" s="329"/>
      <c r="K2229" s="329"/>
      <c r="L2229" s="329"/>
      <c r="M2229" s="329"/>
      <c r="N2229" s="329"/>
    </row>
    <row r="2230" spans="1:14" ht="10.5" customHeight="1">
      <c r="A2230" s="291"/>
      <c r="B2230" s="239"/>
      <c r="C2230" s="351"/>
      <c r="D2230" s="368"/>
      <c r="E2230" s="214">
        <f>SUM(E2227:E2229)</f>
        <v>13927.56</v>
      </c>
      <c r="F2230" s="215">
        <v>5</v>
      </c>
      <c r="G2230" s="337"/>
      <c r="H2230" s="337"/>
      <c r="I2230" s="329"/>
      <c r="J2230" s="329"/>
      <c r="K2230" s="329"/>
      <c r="L2230" s="329"/>
      <c r="M2230" s="329"/>
      <c r="N2230" s="329"/>
    </row>
    <row r="2231" spans="1:14" ht="9.75" customHeight="1">
      <c r="A2231" s="291"/>
      <c r="B2231" s="239"/>
      <c r="C2231" s="351"/>
      <c r="D2231" s="368">
        <v>2014</v>
      </c>
      <c r="E2231" s="214">
        <f>2500+160+144.48+100+100+1000+82+70</f>
        <v>4156.48</v>
      </c>
      <c r="F2231" s="215">
        <v>1</v>
      </c>
      <c r="G2231" s="337">
        <f>1.31+0.06</f>
        <v>1.37</v>
      </c>
      <c r="H2231" s="337">
        <f>987.1+40</f>
        <v>1027.1</v>
      </c>
      <c r="I2231" s="329"/>
      <c r="J2231" s="329"/>
      <c r="K2231" s="329">
        <f>1.744+0.078</f>
        <v>1.822</v>
      </c>
      <c r="L2231" s="329"/>
      <c r="M2231" s="329"/>
      <c r="N2231" s="329"/>
    </row>
    <row r="2232" spans="1:14" ht="10.5" customHeight="1">
      <c r="A2232" s="291"/>
      <c r="B2232" s="239"/>
      <c r="C2232" s="351"/>
      <c r="D2232" s="368"/>
      <c r="E2232" s="214">
        <f>574.6+15+10+130+10+10</f>
        <v>749.6</v>
      </c>
      <c r="F2232" s="215">
        <v>2</v>
      </c>
      <c r="G2232" s="337"/>
      <c r="H2232" s="337"/>
      <c r="I2232" s="329"/>
      <c r="J2232" s="329"/>
      <c r="K2232" s="329"/>
      <c r="L2232" s="329"/>
      <c r="M2232" s="329"/>
      <c r="N2232" s="329"/>
    </row>
    <row r="2233" spans="1:14" ht="11.25" customHeight="1">
      <c r="A2233" s="291"/>
      <c r="B2233" s="239"/>
      <c r="C2233" s="351"/>
      <c r="D2233" s="368"/>
      <c r="E2233" s="214">
        <v>2500</v>
      </c>
      <c r="F2233" s="215">
        <v>4</v>
      </c>
      <c r="G2233" s="337"/>
      <c r="H2233" s="337"/>
      <c r="I2233" s="329"/>
      <c r="J2233" s="329"/>
      <c r="K2233" s="329"/>
      <c r="L2233" s="329"/>
      <c r="M2233" s="329"/>
      <c r="N2233" s="329"/>
    </row>
    <row r="2234" spans="1:14" ht="9.75" customHeight="1">
      <c r="A2234" s="291"/>
      <c r="B2234" s="239"/>
      <c r="C2234" s="351"/>
      <c r="D2234" s="368"/>
      <c r="E2234" s="214">
        <f>SUM(E2231:E2233)</f>
        <v>7406.08</v>
      </c>
      <c r="F2234" s="215">
        <v>5</v>
      </c>
      <c r="G2234" s="337"/>
      <c r="H2234" s="337"/>
      <c r="I2234" s="329"/>
      <c r="J2234" s="329"/>
      <c r="K2234" s="329"/>
      <c r="L2234" s="329"/>
      <c r="M2234" s="329"/>
      <c r="N2234" s="329"/>
    </row>
    <row r="2235" spans="1:14" ht="11.25" customHeight="1">
      <c r="A2235" s="291"/>
      <c r="B2235" s="239"/>
      <c r="C2235" s="351"/>
      <c r="D2235" s="368">
        <v>2015</v>
      </c>
      <c r="E2235" s="214">
        <f>2500+145.48+60</f>
        <v>2705.48</v>
      </c>
      <c r="F2235" s="215">
        <v>1</v>
      </c>
      <c r="G2235" s="337">
        <f>1.31+0.012</f>
        <v>1.322</v>
      </c>
      <c r="H2235" s="337">
        <f>987.1+52.3</f>
        <v>1039.4</v>
      </c>
      <c r="I2235" s="329"/>
      <c r="J2235" s="329"/>
      <c r="K2235" s="329">
        <f>1.744+0.084</f>
        <v>1.828</v>
      </c>
      <c r="L2235" s="329"/>
      <c r="M2235" s="329"/>
      <c r="N2235" s="329"/>
    </row>
    <row r="2236" spans="1:14" ht="10.5" customHeight="1">
      <c r="A2236" s="291"/>
      <c r="B2236" s="239"/>
      <c r="C2236" s="351"/>
      <c r="D2236" s="368"/>
      <c r="E2236" s="214">
        <f>574.6+10</f>
        <v>584.6</v>
      </c>
      <c r="F2236" s="215">
        <v>2</v>
      </c>
      <c r="G2236" s="337"/>
      <c r="H2236" s="337"/>
      <c r="I2236" s="329"/>
      <c r="J2236" s="329"/>
      <c r="K2236" s="329"/>
      <c r="L2236" s="329"/>
      <c r="M2236" s="329"/>
      <c r="N2236" s="329"/>
    </row>
    <row r="2237" spans="1:14" ht="11.25" customHeight="1">
      <c r="A2237" s="291"/>
      <c r="B2237" s="239"/>
      <c r="C2237" s="351"/>
      <c r="D2237" s="368"/>
      <c r="E2237" s="214">
        <v>2500</v>
      </c>
      <c r="F2237" s="215">
        <v>4</v>
      </c>
      <c r="G2237" s="337"/>
      <c r="H2237" s="337"/>
      <c r="I2237" s="329"/>
      <c r="J2237" s="329"/>
      <c r="K2237" s="329"/>
      <c r="L2237" s="329"/>
      <c r="M2237" s="329"/>
      <c r="N2237" s="329"/>
    </row>
    <row r="2238" spans="1:14" ht="10.5" customHeight="1">
      <c r="A2238" s="292"/>
      <c r="B2238" s="241"/>
      <c r="C2238" s="351"/>
      <c r="D2238" s="368"/>
      <c r="E2238" s="214">
        <f>SUM(E2235:E2237)</f>
        <v>5790.08</v>
      </c>
      <c r="F2238" s="215">
        <v>5</v>
      </c>
      <c r="G2238" s="337"/>
      <c r="H2238" s="337"/>
      <c r="I2238" s="329"/>
      <c r="J2238" s="329"/>
      <c r="K2238" s="329"/>
      <c r="L2238" s="329"/>
      <c r="M2238" s="329"/>
      <c r="N2238" s="329"/>
    </row>
    <row r="2239" spans="1:14" ht="11.25" customHeight="1">
      <c r="A2239" s="700">
        <v>2</v>
      </c>
      <c r="B2239" s="299" t="s">
        <v>281</v>
      </c>
      <c r="C2239" s="368" t="s">
        <v>285</v>
      </c>
      <c r="D2239" s="368">
        <v>2012</v>
      </c>
      <c r="E2239" s="214">
        <v>222.4</v>
      </c>
      <c r="F2239" s="215">
        <v>2</v>
      </c>
      <c r="G2239" s="337">
        <v>0.02</v>
      </c>
      <c r="H2239" s="337">
        <v>94.7</v>
      </c>
      <c r="I2239" s="329"/>
      <c r="J2239" s="329"/>
      <c r="K2239" s="329"/>
      <c r="L2239" s="329">
        <v>0.01</v>
      </c>
      <c r="M2239" s="329">
        <v>0.128</v>
      </c>
      <c r="N2239" s="329"/>
    </row>
    <row r="2240" spans="1:14" s="2" customFormat="1" ht="10.5" customHeight="1">
      <c r="A2240" s="700"/>
      <c r="B2240" s="299"/>
      <c r="C2240" s="368"/>
      <c r="D2240" s="368"/>
      <c r="E2240" s="214">
        <v>889.6</v>
      </c>
      <c r="F2240" s="215">
        <v>4</v>
      </c>
      <c r="G2240" s="337"/>
      <c r="H2240" s="337"/>
      <c r="I2240" s="329"/>
      <c r="J2240" s="329"/>
      <c r="K2240" s="329"/>
      <c r="L2240" s="329"/>
      <c r="M2240" s="329"/>
      <c r="N2240" s="329"/>
    </row>
    <row r="2241" spans="1:14" ht="10.5" customHeight="1">
      <c r="A2241" s="700"/>
      <c r="B2241" s="299"/>
      <c r="C2241" s="368"/>
      <c r="D2241" s="368"/>
      <c r="E2241" s="214">
        <f>SUM(E2239:E2240)</f>
        <v>1112</v>
      </c>
      <c r="F2241" s="215">
        <v>5</v>
      </c>
      <c r="G2241" s="337"/>
      <c r="H2241" s="337"/>
      <c r="I2241" s="329"/>
      <c r="J2241" s="329"/>
      <c r="K2241" s="329"/>
      <c r="L2241" s="329"/>
      <c r="M2241" s="329"/>
      <c r="N2241" s="329"/>
    </row>
    <row r="2242" spans="1:14" ht="10.5" customHeight="1">
      <c r="A2242" s="700">
        <v>3</v>
      </c>
      <c r="B2242" s="390" t="s">
        <v>479</v>
      </c>
      <c r="C2242" s="368" t="s">
        <v>356</v>
      </c>
      <c r="D2242" s="368">
        <v>2011</v>
      </c>
      <c r="E2242" s="214">
        <v>66.67</v>
      </c>
      <c r="F2242" s="215">
        <v>1</v>
      </c>
      <c r="G2242" s="337"/>
      <c r="H2242" s="337">
        <v>6.12</v>
      </c>
      <c r="I2242" s="329"/>
      <c r="J2242" s="329"/>
      <c r="K2242" s="329"/>
      <c r="L2242" s="329">
        <v>0.012</v>
      </c>
      <c r="M2242" s="329"/>
      <c r="N2242" s="329"/>
    </row>
    <row r="2243" spans="1:14" ht="10.5" customHeight="1">
      <c r="A2243" s="700"/>
      <c r="B2243" s="390"/>
      <c r="C2243" s="368"/>
      <c r="D2243" s="368"/>
      <c r="E2243" s="214">
        <v>13.34</v>
      </c>
      <c r="F2243" s="215">
        <v>2</v>
      </c>
      <c r="G2243" s="337"/>
      <c r="H2243" s="337"/>
      <c r="I2243" s="329"/>
      <c r="J2243" s="329"/>
      <c r="K2243" s="329"/>
      <c r="L2243" s="329"/>
      <c r="M2243" s="329"/>
      <c r="N2243" s="329"/>
    </row>
    <row r="2244" spans="1:14" ht="10.5" customHeight="1">
      <c r="A2244" s="700"/>
      <c r="B2244" s="390"/>
      <c r="C2244" s="368"/>
      <c r="D2244" s="368"/>
      <c r="E2244" s="214">
        <v>6.67</v>
      </c>
      <c r="F2244" s="215" t="s">
        <v>258</v>
      </c>
      <c r="G2244" s="337"/>
      <c r="H2244" s="337"/>
      <c r="I2244" s="329"/>
      <c r="J2244" s="329"/>
      <c r="K2244" s="329"/>
      <c r="L2244" s="329"/>
      <c r="M2244" s="329"/>
      <c r="N2244" s="329"/>
    </row>
    <row r="2245" spans="1:14" ht="10.5" customHeight="1">
      <c r="A2245" s="700"/>
      <c r="B2245" s="390"/>
      <c r="C2245" s="368"/>
      <c r="D2245" s="368"/>
      <c r="E2245" s="214">
        <f>SUM(E2242+E2243)</f>
        <v>80.01</v>
      </c>
      <c r="F2245" s="215">
        <v>5</v>
      </c>
      <c r="G2245" s="337"/>
      <c r="H2245" s="337"/>
      <c r="I2245" s="329"/>
      <c r="J2245" s="329"/>
      <c r="K2245" s="329"/>
      <c r="L2245" s="329"/>
      <c r="M2245" s="329"/>
      <c r="N2245" s="329"/>
    </row>
    <row r="2246" spans="1:14" ht="10.5" customHeight="1">
      <c r="A2246" s="700">
        <v>4</v>
      </c>
      <c r="B2246" s="299" t="s">
        <v>349</v>
      </c>
      <c r="C2246" s="368" t="s">
        <v>350</v>
      </c>
      <c r="D2246" s="368">
        <v>2011</v>
      </c>
      <c r="E2246" s="214">
        <f>125+343.57</f>
        <v>468.57</v>
      </c>
      <c r="F2246" s="215">
        <v>1</v>
      </c>
      <c r="G2246" s="337">
        <v>0.07</v>
      </c>
      <c r="H2246" s="337">
        <v>107.1</v>
      </c>
      <c r="I2246" s="329"/>
      <c r="J2246" s="329"/>
      <c r="K2246" s="329"/>
      <c r="L2246" s="329">
        <v>0.21</v>
      </c>
      <c r="M2246" s="329"/>
      <c r="N2246" s="329"/>
    </row>
    <row r="2247" spans="1:14" ht="12" customHeight="1">
      <c r="A2247" s="700"/>
      <c r="B2247" s="299"/>
      <c r="C2247" s="368"/>
      <c r="D2247" s="368"/>
      <c r="E2247" s="214">
        <f>25+147.24</f>
        <v>172.24</v>
      </c>
      <c r="F2247" s="215">
        <v>2</v>
      </c>
      <c r="G2247" s="337"/>
      <c r="H2247" s="337"/>
      <c r="I2247" s="329"/>
      <c r="J2247" s="329"/>
      <c r="K2247" s="329"/>
      <c r="L2247" s="329"/>
      <c r="M2247" s="329"/>
      <c r="N2247" s="329"/>
    </row>
    <row r="2248" spans="1:14" ht="11.25" customHeight="1">
      <c r="A2248" s="700"/>
      <c r="B2248" s="299"/>
      <c r="C2248" s="368"/>
      <c r="D2248" s="368"/>
      <c r="E2248" s="214">
        <v>12.5</v>
      </c>
      <c r="F2248" s="215" t="s">
        <v>258</v>
      </c>
      <c r="G2248" s="337"/>
      <c r="H2248" s="337"/>
      <c r="I2248" s="329"/>
      <c r="J2248" s="329"/>
      <c r="K2248" s="329"/>
      <c r="L2248" s="329"/>
      <c r="M2248" s="329"/>
      <c r="N2248" s="329"/>
    </row>
    <row r="2249" spans="1:14" ht="11.25" customHeight="1">
      <c r="A2249" s="700"/>
      <c r="B2249" s="299"/>
      <c r="C2249" s="368"/>
      <c r="D2249" s="368"/>
      <c r="E2249" s="214">
        <f>SUM(E2246:E2247)</f>
        <v>640.81</v>
      </c>
      <c r="F2249" s="215">
        <v>5</v>
      </c>
      <c r="G2249" s="337"/>
      <c r="H2249" s="337"/>
      <c r="I2249" s="329"/>
      <c r="J2249" s="329"/>
      <c r="K2249" s="329"/>
      <c r="L2249" s="329"/>
      <c r="M2249" s="329"/>
      <c r="N2249" s="329"/>
    </row>
    <row r="2250" spans="1:14" ht="10.5" customHeight="1">
      <c r="A2250" s="290">
        <v>5</v>
      </c>
      <c r="B2250" s="352" t="s">
        <v>27</v>
      </c>
      <c r="C2250" s="293" t="s">
        <v>28</v>
      </c>
      <c r="D2250" s="368" t="s">
        <v>138</v>
      </c>
      <c r="E2250" s="214">
        <f>SUM(E2253+E2256+E2259)</f>
        <v>1019.03</v>
      </c>
      <c r="F2250" s="215">
        <v>1</v>
      </c>
      <c r="G2250" s="337">
        <f>SUM(G2253:G2261)</f>
        <v>0.18</v>
      </c>
      <c r="H2250" s="337">
        <f>SUM(H2253:H2261)</f>
        <v>131.32</v>
      </c>
      <c r="I2250" s="329"/>
      <c r="J2250" s="329"/>
      <c r="K2250" s="329">
        <f>SUM(K2253:K2261)</f>
        <v>0.23199999999999998</v>
      </c>
      <c r="L2250" s="329"/>
      <c r="M2250" s="329"/>
      <c r="N2250" s="329"/>
    </row>
    <row r="2251" spans="1:14" ht="10.5" customHeight="1">
      <c r="A2251" s="291"/>
      <c r="B2251" s="316"/>
      <c r="C2251" s="357"/>
      <c r="D2251" s="368"/>
      <c r="E2251" s="214">
        <f>SUM(E2254+E2257+E2260)</f>
        <v>113.22</v>
      </c>
      <c r="F2251" s="215">
        <v>2</v>
      </c>
      <c r="G2251" s="337"/>
      <c r="H2251" s="337"/>
      <c r="I2251" s="329"/>
      <c r="J2251" s="329"/>
      <c r="K2251" s="329"/>
      <c r="L2251" s="329"/>
      <c r="M2251" s="329"/>
      <c r="N2251" s="329"/>
    </row>
    <row r="2252" spans="1:14" ht="9.75" customHeight="1">
      <c r="A2252" s="291"/>
      <c r="B2252" s="316"/>
      <c r="C2252" s="357"/>
      <c r="D2252" s="368"/>
      <c r="E2252" s="214">
        <f>SUM(E2250:E2251)</f>
        <v>1132.25</v>
      </c>
      <c r="F2252" s="215">
        <v>5</v>
      </c>
      <c r="G2252" s="337"/>
      <c r="H2252" s="337"/>
      <c r="I2252" s="329"/>
      <c r="J2252" s="329"/>
      <c r="K2252" s="329"/>
      <c r="L2252" s="329"/>
      <c r="M2252" s="329"/>
      <c r="N2252" s="329"/>
    </row>
    <row r="2253" spans="1:14" ht="10.5" customHeight="1">
      <c r="A2253" s="291"/>
      <c r="B2253" s="316"/>
      <c r="C2253" s="357"/>
      <c r="D2253" s="368">
        <v>2011</v>
      </c>
      <c r="E2253" s="214">
        <f>339.68</f>
        <v>339.68</v>
      </c>
      <c r="F2253" s="215">
        <v>1</v>
      </c>
      <c r="G2253" s="337">
        <v>0.06</v>
      </c>
      <c r="H2253" s="337">
        <v>44.15</v>
      </c>
      <c r="I2253" s="329"/>
      <c r="J2253" s="329"/>
      <c r="K2253" s="329">
        <f>0.078</f>
        <v>0.078</v>
      </c>
      <c r="L2253" s="329"/>
      <c r="M2253" s="329"/>
      <c r="N2253" s="329"/>
    </row>
    <row r="2254" spans="1:14" ht="9.75" customHeight="1">
      <c r="A2254" s="291"/>
      <c r="B2254" s="316"/>
      <c r="C2254" s="357"/>
      <c r="D2254" s="368"/>
      <c r="E2254" s="214">
        <f>37.74</f>
        <v>37.74</v>
      </c>
      <c r="F2254" s="215">
        <v>2</v>
      </c>
      <c r="G2254" s="337"/>
      <c r="H2254" s="337"/>
      <c r="I2254" s="329"/>
      <c r="J2254" s="329"/>
      <c r="K2254" s="329"/>
      <c r="L2254" s="329"/>
      <c r="M2254" s="329"/>
      <c r="N2254" s="329"/>
    </row>
    <row r="2255" spans="1:14" ht="9.75" customHeight="1">
      <c r="A2255" s="291"/>
      <c r="B2255" s="316"/>
      <c r="C2255" s="357"/>
      <c r="D2255" s="368"/>
      <c r="E2255" s="214">
        <f>SUM(E2253:E2254)</f>
        <v>377.42</v>
      </c>
      <c r="F2255" s="215">
        <v>5</v>
      </c>
      <c r="G2255" s="337"/>
      <c r="H2255" s="337"/>
      <c r="I2255" s="329"/>
      <c r="J2255" s="329"/>
      <c r="K2255" s="329"/>
      <c r="L2255" s="329"/>
      <c r="M2255" s="329"/>
      <c r="N2255" s="329"/>
    </row>
    <row r="2256" spans="1:14" ht="10.5" customHeight="1">
      <c r="A2256" s="291"/>
      <c r="B2256" s="316"/>
      <c r="C2256" s="357"/>
      <c r="D2256" s="368">
        <v>2012</v>
      </c>
      <c r="E2256" s="214">
        <v>339.68</v>
      </c>
      <c r="F2256" s="215">
        <v>1</v>
      </c>
      <c r="G2256" s="337">
        <v>0.06</v>
      </c>
      <c r="H2256" s="337">
        <v>44.15</v>
      </c>
      <c r="I2256" s="329"/>
      <c r="J2256" s="329"/>
      <c r="K2256" s="329">
        <f>0.078</f>
        <v>0.078</v>
      </c>
      <c r="L2256" s="329"/>
      <c r="M2256" s="329"/>
      <c r="N2256" s="329"/>
    </row>
    <row r="2257" spans="1:14" ht="10.5" customHeight="1">
      <c r="A2257" s="291"/>
      <c r="B2257" s="316"/>
      <c r="C2257" s="357"/>
      <c r="D2257" s="368"/>
      <c r="E2257" s="214">
        <v>37.74</v>
      </c>
      <c r="F2257" s="215">
        <v>2</v>
      </c>
      <c r="G2257" s="337"/>
      <c r="H2257" s="337"/>
      <c r="I2257" s="329"/>
      <c r="J2257" s="329"/>
      <c r="K2257" s="329"/>
      <c r="L2257" s="329"/>
      <c r="M2257" s="329"/>
      <c r="N2257" s="329"/>
    </row>
    <row r="2258" spans="1:14" ht="11.25" customHeight="1">
      <c r="A2258" s="291"/>
      <c r="B2258" s="316"/>
      <c r="C2258" s="357"/>
      <c r="D2258" s="368"/>
      <c r="E2258" s="214">
        <f>SUM(E2256:E2257)</f>
        <v>377.42</v>
      </c>
      <c r="F2258" s="215">
        <v>5</v>
      </c>
      <c r="G2258" s="337"/>
      <c r="H2258" s="337"/>
      <c r="I2258" s="329"/>
      <c r="J2258" s="329"/>
      <c r="K2258" s="329"/>
      <c r="L2258" s="329"/>
      <c r="M2258" s="329"/>
      <c r="N2258" s="329"/>
    </row>
    <row r="2259" spans="1:14" ht="10.5" customHeight="1">
      <c r="A2259" s="291"/>
      <c r="B2259" s="398"/>
      <c r="C2259" s="357"/>
      <c r="D2259" s="368">
        <v>2013</v>
      </c>
      <c r="E2259" s="216">
        <v>339.67</v>
      </c>
      <c r="F2259" s="217">
        <v>1</v>
      </c>
      <c r="G2259" s="337">
        <v>0.06</v>
      </c>
      <c r="H2259" s="337">
        <v>43.02</v>
      </c>
      <c r="I2259" s="329"/>
      <c r="J2259" s="329"/>
      <c r="K2259" s="329">
        <f>0.076</f>
        <v>0.076</v>
      </c>
      <c r="L2259" s="329"/>
      <c r="M2259" s="329"/>
      <c r="N2259" s="329"/>
    </row>
    <row r="2260" spans="1:14" ht="9.75" customHeight="1">
      <c r="A2260" s="291"/>
      <c r="B2260" s="398"/>
      <c r="C2260" s="357"/>
      <c r="D2260" s="368"/>
      <c r="E2260" s="216">
        <v>37.74</v>
      </c>
      <c r="F2260" s="217">
        <v>2</v>
      </c>
      <c r="G2260" s="337"/>
      <c r="H2260" s="337"/>
      <c r="I2260" s="329"/>
      <c r="J2260" s="329"/>
      <c r="K2260" s="329"/>
      <c r="L2260" s="329"/>
      <c r="M2260" s="329"/>
      <c r="N2260" s="329"/>
    </row>
    <row r="2261" spans="1:14" ht="9.75" customHeight="1">
      <c r="A2261" s="292"/>
      <c r="B2261" s="399"/>
      <c r="C2261" s="358"/>
      <c r="D2261" s="368"/>
      <c r="E2261" s="216">
        <f>SUM(E2259:E2260)</f>
        <v>377.41</v>
      </c>
      <c r="F2261" s="217">
        <v>5</v>
      </c>
      <c r="G2261" s="337"/>
      <c r="H2261" s="337"/>
      <c r="I2261" s="329"/>
      <c r="J2261" s="329"/>
      <c r="K2261" s="329"/>
      <c r="L2261" s="329"/>
      <c r="M2261" s="329"/>
      <c r="N2261" s="329"/>
    </row>
    <row r="2262" spans="1:14" ht="10.5" customHeight="1">
      <c r="A2262" s="290">
        <v>6</v>
      </c>
      <c r="B2262" s="352" t="s">
        <v>282</v>
      </c>
      <c r="C2262" s="293" t="s">
        <v>283</v>
      </c>
      <c r="D2262" s="368" t="s">
        <v>158</v>
      </c>
      <c r="E2262" s="214">
        <f>E2265+E2268</f>
        <v>600</v>
      </c>
      <c r="F2262" s="215">
        <v>2</v>
      </c>
      <c r="G2262" s="337">
        <f>SUM(G2265:G2270)</f>
        <v>0.3</v>
      </c>
      <c r="H2262" s="337">
        <f>SUM(H2265:H2270)</f>
        <v>446.76</v>
      </c>
      <c r="I2262" s="329"/>
      <c r="J2262" s="329"/>
      <c r="K2262" s="329"/>
      <c r="L2262" s="329">
        <f>SUM(L2265:L2270)</f>
        <v>0.876</v>
      </c>
      <c r="M2262" s="329"/>
      <c r="N2262" s="329"/>
    </row>
    <row r="2263" spans="1:14" ht="9.75" customHeight="1">
      <c r="A2263" s="291"/>
      <c r="B2263" s="316"/>
      <c r="C2263" s="357"/>
      <c r="D2263" s="368"/>
      <c r="E2263" s="214">
        <f>E2266+E2269</f>
        <v>500</v>
      </c>
      <c r="F2263" s="215" t="s">
        <v>258</v>
      </c>
      <c r="G2263" s="337"/>
      <c r="H2263" s="337"/>
      <c r="I2263" s="329"/>
      <c r="J2263" s="329"/>
      <c r="K2263" s="329"/>
      <c r="L2263" s="329"/>
      <c r="M2263" s="329"/>
      <c r="N2263" s="329"/>
    </row>
    <row r="2264" spans="1:14" ht="9.75" customHeight="1">
      <c r="A2264" s="291"/>
      <c r="B2264" s="316"/>
      <c r="C2264" s="357"/>
      <c r="D2264" s="368"/>
      <c r="E2264" s="214">
        <f>E2262</f>
        <v>600</v>
      </c>
      <c r="F2264" s="215">
        <v>5</v>
      </c>
      <c r="G2264" s="337"/>
      <c r="H2264" s="337"/>
      <c r="I2264" s="329"/>
      <c r="J2264" s="329"/>
      <c r="K2264" s="329"/>
      <c r="L2264" s="329"/>
      <c r="M2264" s="329"/>
      <c r="N2264" s="329"/>
    </row>
    <row r="2265" spans="1:14" ht="10.5" customHeight="1">
      <c r="A2265" s="291"/>
      <c r="B2265" s="316"/>
      <c r="C2265" s="357"/>
      <c r="D2265" s="368">
        <v>2014</v>
      </c>
      <c r="E2265" s="214">
        <v>300</v>
      </c>
      <c r="F2265" s="215">
        <v>2</v>
      </c>
      <c r="G2265" s="337">
        <v>0.15</v>
      </c>
      <c r="H2265" s="337">
        <f>I2265*2000+K2265*566+L2265*510+M2265*700</f>
        <v>223.38</v>
      </c>
      <c r="I2265" s="329"/>
      <c r="J2265" s="329"/>
      <c r="K2265" s="329"/>
      <c r="L2265" s="329">
        <v>0.438</v>
      </c>
      <c r="M2265" s="329"/>
      <c r="N2265" s="329"/>
    </row>
    <row r="2266" spans="1:14" ht="10.5" customHeight="1">
      <c r="A2266" s="291"/>
      <c r="B2266" s="316"/>
      <c r="C2266" s="357"/>
      <c r="D2266" s="368"/>
      <c r="E2266" s="214">
        <v>250</v>
      </c>
      <c r="F2266" s="215" t="s">
        <v>258</v>
      </c>
      <c r="G2266" s="337"/>
      <c r="H2266" s="337"/>
      <c r="I2266" s="329"/>
      <c r="J2266" s="329"/>
      <c r="K2266" s="329"/>
      <c r="L2266" s="329"/>
      <c r="M2266" s="329"/>
      <c r="N2266" s="329"/>
    </row>
    <row r="2267" spans="1:14" ht="11.25" customHeight="1">
      <c r="A2267" s="291"/>
      <c r="B2267" s="316"/>
      <c r="C2267" s="357"/>
      <c r="D2267" s="368"/>
      <c r="E2267" s="214">
        <f>E2265</f>
        <v>300</v>
      </c>
      <c r="F2267" s="215">
        <v>5</v>
      </c>
      <c r="G2267" s="337"/>
      <c r="H2267" s="337"/>
      <c r="I2267" s="329"/>
      <c r="J2267" s="329"/>
      <c r="K2267" s="329"/>
      <c r="L2267" s="329"/>
      <c r="M2267" s="329"/>
      <c r="N2267" s="329"/>
    </row>
    <row r="2268" spans="1:14" ht="10.5" customHeight="1">
      <c r="A2268" s="291"/>
      <c r="B2268" s="316"/>
      <c r="C2268" s="357"/>
      <c r="D2268" s="368">
        <v>2015</v>
      </c>
      <c r="E2268" s="214">
        <v>300</v>
      </c>
      <c r="F2268" s="215">
        <v>2</v>
      </c>
      <c r="G2268" s="337">
        <v>0.15</v>
      </c>
      <c r="H2268" s="337">
        <f>I2268*2000+K2268*566+L2268*510+M2268*700</f>
        <v>223.38</v>
      </c>
      <c r="I2268" s="329"/>
      <c r="J2268" s="329"/>
      <c r="K2268" s="329"/>
      <c r="L2268" s="329">
        <v>0.438</v>
      </c>
      <c r="M2268" s="329"/>
      <c r="N2268" s="329"/>
    </row>
    <row r="2269" spans="1:14" ht="11.25" customHeight="1">
      <c r="A2269" s="291"/>
      <c r="B2269" s="316"/>
      <c r="C2269" s="357"/>
      <c r="D2269" s="368"/>
      <c r="E2269" s="214">
        <v>250</v>
      </c>
      <c r="F2269" s="215" t="s">
        <v>258</v>
      </c>
      <c r="G2269" s="337"/>
      <c r="H2269" s="337"/>
      <c r="I2269" s="329"/>
      <c r="J2269" s="329"/>
      <c r="K2269" s="329"/>
      <c r="L2269" s="329"/>
      <c r="M2269" s="329"/>
      <c r="N2269" s="329"/>
    </row>
    <row r="2270" spans="1:14" ht="11.25" customHeight="1">
      <c r="A2270" s="292"/>
      <c r="B2270" s="317"/>
      <c r="C2270" s="358"/>
      <c r="D2270" s="368"/>
      <c r="E2270" s="214">
        <f>E2268</f>
        <v>300</v>
      </c>
      <c r="F2270" s="215">
        <v>5</v>
      </c>
      <c r="G2270" s="337"/>
      <c r="H2270" s="337"/>
      <c r="I2270" s="329"/>
      <c r="J2270" s="329"/>
      <c r="K2270" s="329"/>
      <c r="L2270" s="329"/>
      <c r="M2270" s="329"/>
      <c r="N2270" s="329"/>
    </row>
    <row r="2271" spans="1:14" ht="15" customHeight="1">
      <c r="A2271" s="290">
        <v>7</v>
      </c>
      <c r="B2271" s="352" t="s">
        <v>379</v>
      </c>
      <c r="C2271" s="293" t="s">
        <v>380</v>
      </c>
      <c r="D2271" s="293">
        <v>2011</v>
      </c>
      <c r="E2271" s="214">
        <v>19190</v>
      </c>
      <c r="F2271" s="215">
        <v>1</v>
      </c>
      <c r="G2271" s="334">
        <v>1.93</v>
      </c>
      <c r="H2271" s="334">
        <v>4410.4</v>
      </c>
      <c r="I2271" s="304">
        <v>1.662</v>
      </c>
      <c r="J2271" s="304"/>
      <c r="K2271" s="304"/>
      <c r="L2271" s="304"/>
      <c r="M2271" s="304"/>
      <c r="N2271" s="304"/>
    </row>
    <row r="2272" spans="1:14" ht="15" customHeight="1">
      <c r="A2272" s="291"/>
      <c r="B2272" s="316"/>
      <c r="C2272" s="357"/>
      <c r="D2272" s="357"/>
      <c r="E2272" s="214">
        <v>20345</v>
      </c>
      <c r="F2272" s="215">
        <v>4</v>
      </c>
      <c r="G2272" s="583"/>
      <c r="H2272" s="583"/>
      <c r="I2272" s="305"/>
      <c r="J2272" s="305"/>
      <c r="K2272" s="305"/>
      <c r="L2272" s="305"/>
      <c r="M2272" s="305"/>
      <c r="N2272" s="305"/>
    </row>
    <row r="2273" spans="1:14" ht="14.25" customHeight="1">
      <c r="A2273" s="292"/>
      <c r="B2273" s="317"/>
      <c r="C2273" s="358"/>
      <c r="D2273" s="358"/>
      <c r="E2273" s="214">
        <f>E2271+E2272</f>
        <v>39535</v>
      </c>
      <c r="F2273" s="215">
        <v>5</v>
      </c>
      <c r="G2273" s="336"/>
      <c r="H2273" s="336"/>
      <c r="I2273" s="306"/>
      <c r="J2273" s="306"/>
      <c r="K2273" s="306"/>
      <c r="L2273" s="306"/>
      <c r="M2273" s="306"/>
      <c r="N2273" s="306"/>
    </row>
    <row r="2274" spans="1:14" ht="10.5" customHeight="1">
      <c r="A2274" s="672" t="s">
        <v>336</v>
      </c>
      <c r="B2274" s="300" t="s">
        <v>79</v>
      </c>
      <c r="C2274" s="293" t="s">
        <v>80</v>
      </c>
      <c r="D2274" s="368" t="s">
        <v>81</v>
      </c>
      <c r="E2274" s="214">
        <f>E2277+E2280+E2283</f>
        <v>47333.75</v>
      </c>
      <c r="F2274" s="215">
        <v>1</v>
      </c>
      <c r="G2274" s="337">
        <f>SUM(G2277:G2285)</f>
        <v>4.801671</v>
      </c>
      <c r="H2274" s="337">
        <f>SUM(H2277:H2285)</f>
        <v>5967.990000000001</v>
      </c>
      <c r="I2274" s="329">
        <f>SUM(I2277:I2285)</f>
        <v>4.179</v>
      </c>
      <c r="J2274" s="329"/>
      <c r="K2274" s="329"/>
      <c r="L2274" s="329"/>
      <c r="M2274" s="329"/>
      <c r="N2274" s="329"/>
    </row>
    <row r="2275" spans="1:14" ht="11.25" customHeight="1">
      <c r="A2275" s="515"/>
      <c r="B2275" s="398"/>
      <c r="C2275" s="357"/>
      <c r="D2275" s="368"/>
      <c r="E2275" s="214">
        <f>E2278+E2281+E2284</f>
        <v>2491.25</v>
      </c>
      <c r="F2275" s="215">
        <v>2</v>
      </c>
      <c r="G2275" s="337"/>
      <c r="H2275" s="337"/>
      <c r="I2275" s="329"/>
      <c r="J2275" s="329"/>
      <c r="K2275" s="329"/>
      <c r="L2275" s="329"/>
      <c r="M2275" s="329"/>
      <c r="N2275" s="329"/>
    </row>
    <row r="2276" spans="1:14" ht="10.5" customHeight="1">
      <c r="A2276" s="515"/>
      <c r="B2276" s="398"/>
      <c r="C2276" s="357"/>
      <c r="D2276" s="368"/>
      <c r="E2276" s="214">
        <f>E2274+E2275</f>
        <v>49825</v>
      </c>
      <c r="F2276" s="215">
        <v>5</v>
      </c>
      <c r="G2276" s="337"/>
      <c r="H2276" s="337"/>
      <c r="I2276" s="329"/>
      <c r="J2276" s="329"/>
      <c r="K2276" s="329"/>
      <c r="L2276" s="329"/>
      <c r="M2276" s="329"/>
      <c r="N2276" s="329"/>
    </row>
    <row r="2277" spans="1:14" ht="10.5" customHeight="1">
      <c r="A2277" s="515"/>
      <c r="B2277" s="398"/>
      <c r="C2277" s="357"/>
      <c r="D2277" s="293">
        <v>2013</v>
      </c>
      <c r="E2277" s="214">
        <v>11970</v>
      </c>
      <c r="F2277" s="215">
        <v>1</v>
      </c>
      <c r="G2277" s="337">
        <f>I2277*1.149</f>
        <v>1.214493</v>
      </c>
      <c r="H2277" s="337">
        <v>1509.22</v>
      </c>
      <c r="I2277" s="329">
        <v>1.057</v>
      </c>
      <c r="J2277" s="329"/>
      <c r="K2277" s="329"/>
      <c r="L2277" s="329"/>
      <c r="M2277" s="329"/>
      <c r="N2277" s="329"/>
    </row>
    <row r="2278" spans="1:14" ht="10.5" customHeight="1">
      <c r="A2278" s="515"/>
      <c r="B2278" s="398"/>
      <c r="C2278" s="357"/>
      <c r="D2278" s="357"/>
      <c r="E2278" s="214">
        <v>630</v>
      </c>
      <c r="F2278" s="215">
        <v>2</v>
      </c>
      <c r="G2278" s="337"/>
      <c r="H2278" s="337"/>
      <c r="I2278" s="329"/>
      <c r="J2278" s="329"/>
      <c r="K2278" s="329"/>
      <c r="L2278" s="329"/>
      <c r="M2278" s="329"/>
      <c r="N2278" s="329"/>
    </row>
    <row r="2279" spans="1:14" ht="9.75" customHeight="1">
      <c r="A2279" s="515"/>
      <c r="B2279" s="398"/>
      <c r="C2279" s="357"/>
      <c r="D2279" s="358"/>
      <c r="E2279" s="214">
        <f>E2277+E2278</f>
        <v>12600</v>
      </c>
      <c r="F2279" s="215">
        <v>5</v>
      </c>
      <c r="G2279" s="337"/>
      <c r="H2279" s="337"/>
      <c r="I2279" s="329"/>
      <c r="J2279" s="329"/>
      <c r="K2279" s="329"/>
      <c r="L2279" s="329"/>
      <c r="M2279" s="329"/>
      <c r="N2279" s="329"/>
    </row>
    <row r="2280" spans="1:14" ht="11.25" customHeight="1">
      <c r="A2280" s="515"/>
      <c r="B2280" s="398"/>
      <c r="C2280" s="357"/>
      <c r="D2280" s="368">
        <v>2014</v>
      </c>
      <c r="E2280" s="214">
        <f>35363.75/2</f>
        <v>17681.875</v>
      </c>
      <c r="F2280" s="215">
        <v>1</v>
      </c>
      <c r="G2280" s="337">
        <f>I2280*1.149</f>
        <v>1.7935889999999999</v>
      </c>
      <c r="H2280" s="337">
        <f>4458.77/2</f>
        <v>2229.385</v>
      </c>
      <c r="I2280" s="329">
        <f>3.122/2</f>
        <v>1.561</v>
      </c>
      <c r="J2280" s="329"/>
      <c r="K2280" s="329"/>
      <c r="L2280" s="329"/>
      <c r="M2280" s="329"/>
      <c r="N2280" s="329"/>
    </row>
    <row r="2281" spans="1:14" ht="11.25" customHeight="1">
      <c r="A2281" s="515"/>
      <c r="B2281" s="398"/>
      <c r="C2281" s="357"/>
      <c r="D2281" s="368"/>
      <c r="E2281" s="214">
        <f>1861.25/2</f>
        <v>930.625</v>
      </c>
      <c r="F2281" s="215">
        <v>2</v>
      </c>
      <c r="G2281" s="337"/>
      <c r="H2281" s="337"/>
      <c r="I2281" s="329"/>
      <c r="J2281" s="329"/>
      <c r="K2281" s="329"/>
      <c r="L2281" s="329"/>
      <c r="M2281" s="329"/>
      <c r="N2281" s="329"/>
    </row>
    <row r="2282" spans="1:14" ht="10.5" customHeight="1">
      <c r="A2282" s="515"/>
      <c r="B2282" s="398"/>
      <c r="C2282" s="357"/>
      <c r="D2282" s="368"/>
      <c r="E2282" s="214">
        <f>E2280+E2281</f>
        <v>18612.5</v>
      </c>
      <c r="F2282" s="215">
        <v>5</v>
      </c>
      <c r="G2282" s="337"/>
      <c r="H2282" s="337"/>
      <c r="I2282" s="329"/>
      <c r="J2282" s="329"/>
      <c r="K2282" s="329"/>
      <c r="L2282" s="329"/>
      <c r="M2282" s="329"/>
      <c r="N2282" s="329"/>
    </row>
    <row r="2283" spans="1:14" ht="10.5" customHeight="1">
      <c r="A2283" s="515"/>
      <c r="B2283" s="398"/>
      <c r="C2283" s="357"/>
      <c r="D2283" s="368">
        <v>2015</v>
      </c>
      <c r="E2283" s="214">
        <f>35363.75/2</f>
        <v>17681.875</v>
      </c>
      <c r="F2283" s="215">
        <v>1</v>
      </c>
      <c r="G2283" s="337">
        <f>I2283*1.149</f>
        <v>1.7935889999999999</v>
      </c>
      <c r="H2283" s="337">
        <f>4458.77/2</f>
        <v>2229.385</v>
      </c>
      <c r="I2283" s="329">
        <v>1.561</v>
      </c>
      <c r="J2283" s="329"/>
      <c r="K2283" s="329"/>
      <c r="L2283" s="329"/>
      <c r="M2283" s="329"/>
      <c r="N2283" s="329"/>
    </row>
    <row r="2284" spans="1:14" ht="10.5" customHeight="1">
      <c r="A2284" s="515"/>
      <c r="B2284" s="398"/>
      <c r="C2284" s="357"/>
      <c r="D2284" s="368"/>
      <c r="E2284" s="214">
        <f>1861.25/2</f>
        <v>930.625</v>
      </c>
      <c r="F2284" s="215">
        <v>2</v>
      </c>
      <c r="G2284" s="337"/>
      <c r="H2284" s="337"/>
      <c r="I2284" s="329"/>
      <c r="J2284" s="329"/>
      <c r="K2284" s="329"/>
      <c r="L2284" s="329"/>
      <c r="M2284" s="329"/>
      <c r="N2284" s="329"/>
    </row>
    <row r="2285" spans="1:14" ht="10.5" customHeight="1">
      <c r="A2285" s="516"/>
      <c r="B2285" s="399"/>
      <c r="C2285" s="357"/>
      <c r="D2285" s="368"/>
      <c r="E2285" s="214">
        <f>E2283+E2284</f>
        <v>18612.5</v>
      </c>
      <c r="F2285" s="215">
        <v>5</v>
      </c>
      <c r="G2285" s="337"/>
      <c r="H2285" s="337"/>
      <c r="I2285" s="329"/>
      <c r="J2285" s="329"/>
      <c r="K2285" s="329"/>
      <c r="L2285" s="329"/>
      <c r="M2285" s="329"/>
      <c r="N2285" s="329"/>
    </row>
    <row r="2286" spans="1:14" ht="10.5" customHeight="1">
      <c r="A2286" s="444" t="s">
        <v>337</v>
      </c>
      <c r="B2286" s="422" t="s">
        <v>68</v>
      </c>
      <c r="C2286" s="232" t="s">
        <v>69</v>
      </c>
      <c r="D2286" s="308" t="s">
        <v>146</v>
      </c>
      <c r="E2286" s="78">
        <v>14270</v>
      </c>
      <c r="F2286" s="26">
        <v>1</v>
      </c>
      <c r="G2286" s="617">
        <v>70.77</v>
      </c>
      <c r="H2286" s="617">
        <v>6489.47</v>
      </c>
      <c r="I2286" s="606"/>
      <c r="J2286" s="606"/>
      <c r="K2286" s="519">
        <v>9.274</v>
      </c>
      <c r="L2286" s="606"/>
      <c r="M2286" s="606"/>
      <c r="N2286" s="606"/>
    </row>
    <row r="2287" spans="1:14" ht="10.5" customHeight="1">
      <c r="A2287" s="445"/>
      <c r="B2287" s="398"/>
      <c r="C2287" s="236"/>
      <c r="D2287" s="308"/>
      <c r="E2287" s="78">
        <v>1500</v>
      </c>
      <c r="F2287" s="26">
        <v>2</v>
      </c>
      <c r="G2287" s="618"/>
      <c r="H2287" s="386"/>
      <c r="I2287" s="282"/>
      <c r="J2287" s="282"/>
      <c r="K2287" s="520"/>
      <c r="L2287" s="282"/>
      <c r="M2287" s="282"/>
      <c r="N2287" s="282"/>
    </row>
    <row r="2288" spans="1:14" ht="11.25" customHeight="1">
      <c r="A2288" s="445"/>
      <c r="B2288" s="398"/>
      <c r="C2288" s="236"/>
      <c r="D2288" s="308"/>
      <c r="E2288" s="78">
        <v>12500</v>
      </c>
      <c r="F2288" s="26">
        <v>4</v>
      </c>
      <c r="G2288" s="618"/>
      <c r="H2288" s="386"/>
      <c r="I2288" s="282"/>
      <c r="J2288" s="282"/>
      <c r="K2288" s="520"/>
      <c r="L2288" s="282"/>
      <c r="M2288" s="282"/>
      <c r="N2288" s="282"/>
    </row>
    <row r="2289" spans="1:14" ht="10.5" customHeight="1">
      <c r="A2289" s="445"/>
      <c r="B2289" s="398"/>
      <c r="C2289" s="236"/>
      <c r="D2289" s="308"/>
      <c r="E2289" s="78">
        <v>29643</v>
      </c>
      <c r="F2289" s="26">
        <v>5</v>
      </c>
      <c r="G2289" s="387"/>
      <c r="H2289" s="387"/>
      <c r="I2289" s="283"/>
      <c r="J2289" s="283"/>
      <c r="K2289" s="605"/>
      <c r="L2289" s="283"/>
      <c r="M2289" s="283"/>
      <c r="N2289" s="283"/>
    </row>
    <row r="2290" spans="1:14" ht="11.25" customHeight="1">
      <c r="A2290" s="445"/>
      <c r="B2290" s="398"/>
      <c r="C2290" s="236"/>
      <c r="D2290" s="309">
        <v>2013</v>
      </c>
      <c r="E2290" s="78">
        <v>4756.7</v>
      </c>
      <c r="F2290" s="26">
        <v>1</v>
      </c>
      <c r="G2290" s="617">
        <v>23.59</v>
      </c>
      <c r="H2290" s="517">
        <v>2163.16</v>
      </c>
      <c r="I2290" s="606"/>
      <c r="J2290" s="606"/>
      <c r="K2290" s="519">
        <v>3.09</v>
      </c>
      <c r="L2290" s="606"/>
      <c r="M2290" s="606"/>
      <c r="N2290" s="606"/>
    </row>
    <row r="2291" spans="1:14" ht="11.25" customHeight="1">
      <c r="A2291" s="445"/>
      <c r="B2291" s="398"/>
      <c r="C2291" s="236"/>
      <c r="D2291" s="309"/>
      <c r="E2291" s="78">
        <v>500</v>
      </c>
      <c r="F2291" s="26">
        <v>2</v>
      </c>
      <c r="G2291" s="618"/>
      <c r="H2291" s="518"/>
      <c r="I2291" s="282"/>
      <c r="J2291" s="282"/>
      <c r="K2291" s="604"/>
      <c r="L2291" s="282"/>
      <c r="M2291" s="282"/>
      <c r="N2291" s="282"/>
    </row>
    <row r="2292" spans="1:14" ht="10.5" customHeight="1">
      <c r="A2292" s="445"/>
      <c r="B2292" s="398"/>
      <c r="C2292" s="236"/>
      <c r="D2292" s="309"/>
      <c r="E2292" s="78">
        <v>4166.65</v>
      </c>
      <c r="F2292" s="26">
        <v>4</v>
      </c>
      <c r="G2292" s="618"/>
      <c r="H2292" s="518"/>
      <c r="I2292" s="282"/>
      <c r="J2292" s="282"/>
      <c r="K2292" s="604"/>
      <c r="L2292" s="282"/>
      <c r="M2292" s="282"/>
      <c r="N2292" s="282"/>
    </row>
    <row r="2293" spans="1:14" ht="10.5" customHeight="1">
      <c r="A2293" s="445"/>
      <c r="B2293" s="398"/>
      <c r="C2293" s="236"/>
      <c r="D2293" s="309"/>
      <c r="E2293" s="78">
        <f>E2290+E2291+E2292</f>
        <v>9423.349999999999</v>
      </c>
      <c r="F2293" s="26">
        <v>5</v>
      </c>
      <c r="G2293" s="387"/>
      <c r="H2293" s="387"/>
      <c r="I2293" s="283"/>
      <c r="J2293" s="283"/>
      <c r="K2293" s="605"/>
      <c r="L2293" s="283"/>
      <c r="M2293" s="283"/>
      <c r="N2293" s="283"/>
    </row>
    <row r="2294" spans="1:14" ht="10.5" customHeight="1">
      <c r="A2294" s="445"/>
      <c r="B2294" s="398"/>
      <c r="C2294" s="236"/>
      <c r="D2294" s="309">
        <v>2014</v>
      </c>
      <c r="E2294" s="78">
        <v>4756.7</v>
      </c>
      <c r="F2294" s="26">
        <v>1</v>
      </c>
      <c r="G2294" s="617">
        <v>23.59</v>
      </c>
      <c r="H2294" s="517">
        <v>2163.16</v>
      </c>
      <c r="I2294" s="606"/>
      <c r="J2294" s="606"/>
      <c r="K2294" s="519">
        <v>3.09</v>
      </c>
      <c r="L2294" s="606"/>
      <c r="M2294" s="606"/>
      <c r="N2294" s="606"/>
    </row>
    <row r="2295" spans="1:14" ht="11.25" customHeight="1">
      <c r="A2295" s="445"/>
      <c r="B2295" s="398"/>
      <c r="C2295" s="236"/>
      <c r="D2295" s="309"/>
      <c r="E2295" s="78">
        <v>500</v>
      </c>
      <c r="F2295" s="26">
        <v>2</v>
      </c>
      <c r="G2295" s="618"/>
      <c r="H2295" s="518"/>
      <c r="I2295" s="282"/>
      <c r="J2295" s="282"/>
      <c r="K2295" s="604"/>
      <c r="L2295" s="282"/>
      <c r="M2295" s="282"/>
      <c r="N2295" s="282"/>
    </row>
    <row r="2296" spans="1:14" ht="10.5" customHeight="1">
      <c r="A2296" s="445"/>
      <c r="B2296" s="398"/>
      <c r="C2296" s="236"/>
      <c r="D2296" s="309"/>
      <c r="E2296" s="78">
        <v>4166.65</v>
      </c>
      <c r="F2296" s="26">
        <v>4</v>
      </c>
      <c r="G2296" s="618"/>
      <c r="H2296" s="518"/>
      <c r="I2296" s="282"/>
      <c r="J2296" s="282"/>
      <c r="K2296" s="604"/>
      <c r="L2296" s="282"/>
      <c r="M2296" s="282"/>
      <c r="N2296" s="282"/>
    </row>
    <row r="2297" spans="1:14" ht="10.5" customHeight="1">
      <c r="A2297" s="445"/>
      <c r="B2297" s="398"/>
      <c r="C2297" s="236"/>
      <c r="D2297" s="309"/>
      <c r="E2297" s="78">
        <f>E2294+E2295+E2296</f>
        <v>9423.349999999999</v>
      </c>
      <c r="F2297" s="26">
        <v>5</v>
      </c>
      <c r="G2297" s="387"/>
      <c r="H2297" s="387"/>
      <c r="I2297" s="283"/>
      <c r="J2297" s="283"/>
      <c r="K2297" s="605"/>
      <c r="L2297" s="283"/>
      <c r="M2297" s="283"/>
      <c r="N2297" s="283"/>
    </row>
    <row r="2298" spans="1:14" ht="10.5" customHeight="1">
      <c r="A2298" s="445"/>
      <c r="B2298" s="398"/>
      <c r="C2298" s="236"/>
      <c r="D2298" s="309">
        <v>2015</v>
      </c>
      <c r="E2298" s="78">
        <v>4756.7</v>
      </c>
      <c r="F2298" s="26">
        <v>1</v>
      </c>
      <c r="G2298" s="617">
        <v>23.59</v>
      </c>
      <c r="H2298" s="517">
        <v>2163.16</v>
      </c>
      <c r="I2298" s="606"/>
      <c r="J2298" s="606"/>
      <c r="K2298" s="519">
        <v>3.09</v>
      </c>
      <c r="L2298" s="606"/>
      <c r="M2298" s="606"/>
      <c r="N2298" s="606"/>
    </row>
    <row r="2299" spans="1:14" ht="10.5" customHeight="1">
      <c r="A2299" s="445"/>
      <c r="B2299" s="398"/>
      <c r="C2299" s="236"/>
      <c r="D2299" s="309"/>
      <c r="E2299" s="78">
        <v>500</v>
      </c>
      <c r="F2299" s="26">
        <v>2</v>
      </c>
      <c r="G2299" s="618"/>
      <c r="H2299" s="518"/>
      <c r="I2299" s="282"/>
      <c r="J2299" s="282"/>
      <c r="K2299" s="604"/>
      <c r="L2299" s="282"/>
      <c r="M2299" s="282"/>
      <c r="N2299" s="282"/>
    </row>
    <row r="2300" spans="1:14" ht="10.5" customHeight="1">
      <c r="A2300" s="445"/>
      <c r="B2300" s="398"/>
      <c r="C2300" s="236"/>
      <c r="D2300" s="309"/>
      <c r="E2300" s="78">
        <v>4166.65</v>
      </c>
      <c r="F2300" s="26">
        <v>4</v>
      </c>
      <c r="G2300" s="618"/>
      <c r="H2300" s="518"/>
      <c r="I2300" s="282"/>
      <c r="J2300" s="282"/>
      <c r="K2300" s="604"/>
      <c r="L2300" s="282"/>
      <c r="M2300" s="282"/>
      <c r="N2300" s="282"/>
    </row>
    <row r="2301" spans="1:14" ht="10.5" customHeight="1">
      <c r="A2301" s="451"/>
      <c r="B2301" s="399"/>
      <c r="C2301" s="237"/>
      <c r="D2301" s="309"/>
      <c r="E2301" s="78">
        <f>E2298+E2299+E2300</f>
        <v>9423.349999999999</v>
      </c>
      <c r="F2301" s="26">
        <v>5</v>
      </c>
      <c r="G2301" s="387"/>
      <c r="H2301" s="387"/>
      <c r="I2301" s="283"/>
      <c r="J2301" s="283"/>
      <c r="K2301" s="605"/>
      <c r="L2301" s="283"/>
      <c r="M2301" s="283"/>
      <c r="N2301" s="283"/>
    </row>
    <row r="2302" spans="1:14" ht="92.25" customHeight="1">
      <c r="A2302" s="44" t="s">
        <v>338</v>
      </c>
      <c r="B2302" s="45" t="s">
        <v>207</v>
      </c>
      <c r="C2302" s="237" t="s">
        <v>36</v>
      </c>
      <c r="D2302" s="67">
        <v>2013</v>
      </c>
      <c r="E2302" s="123">
        <v>1500</v>
      </c>
      <c r="F2302" s="79" t="s">
        <v>258</v>
      </c>
      <c r="G2302" s="275"/>
      <c r="H2302" s="47"/>
      <c r="I2302" s="276"/>
      <c r="J2302" s="276"/>
      <c r="K2302" s="275"/>
      <c r="L2302" s="5"/>
      <c r="M2302" s="5"/>
      <c r="N2302" s="5"/>
    </row>
    <row r="2303" spans="1:14" ht="15" customHeight="1">
      <c r="A2303" s="444" t="s">
        <v>339</v>
      </c>
      <c r="B2303" s="422" t="s">
        <v>37</v>
      </c>
      <c r="C2303" s="293" t="s">
        <v>36</v>
      </c>
      <c r="D2303" s="697">
        <v>2015</v>
      </c>
      <c r="E2303" s="78">
        <v>10714.3</v>
      </c>
      <c r="F2303" s="26">
        <v>1</v>
      </c>
      <c r="G2303" s="617">
        <f>L2303*0.325</f>
        <v>2.5025</v>
      </c>
      <c r="H2303" s="617">
        <v>7775.46</v>
      </c>
      <c r="I2303" s="606"/>
      <c r="J2303" s="606"/>
      <c r="K2303" s="606"/>
      <c r="L2303" s="519">
        <v>7.7</v>
      </c>
      <c r="M2303" s="606"/>
      <c r="N2303" s="606"/>
    </row>
    <row r="2304" spans="1:14" ht="14.25" customHeight="1">
      <c r="A2304" s="445"/>
      <c r="B2304" s="423"/>
      <c r="C2304" s="357"/>
      <c r="D2304" s="698"/>
      <c r="E2304" s="78">
        <v>4285.7</v>
      </c>
      <c r="F2304" s="26" t="s">
        <v>258</v>
      </c>
      <c r="G2304" s="618"/>
      <c r="H2304" s="618"/>
      <c r="I2304" s="620"/>
      <c r="J2304" s="620"/>
      <c r="K2304" s="620"/>
      <c r="L2304" s="520"/>
      <c r="M2304" s="620"/>
      <c r="N2304" s="620"/>
    </row>
    <row r="2305" spans="1:14" ht="15" customHeight="1">
      <c r="A2305" s="451"/>
      <c r="B2305" s="671"/>
      <c r="C2305" s="358"/>
      <c r="D2305" s="699"/>
      <c r="E2305" s="78">
        <f>E2303+E2304</f>
        <v>15000</v>
      </c>
      <c r="F2305" s="26">
        <v>5</v>
      </c>
      <c r="G2305" s="619"/>
      <c r="H2305" s="619"/>
      <c r="I2305" s="621"/>
      <c r="J2305" s="621"/>
      <c r="K2305" s="621"/>
      <c r="L2305" s="521"/>
      <c r="M2305" s="621"/>
      <c r="N2305" s="621"/>
    </row>
    <row r="2306" spans="1:14" ht="11.25" customHeight="1">
      <c r="A2306" s="681"/>
      <c r="B2306" s="685"/>
      <c r="C2306" s="678"/>
      <c r="D2306" s="400" t="s">
        <v>158</v>
      </c>
      <c r="E2306" s="116">
        <f>E2311+E2316+E2320+E2325+E2330</f>
        <v>119427.37999999999</v>
      </c>
      <c r="F2306" s="133">
        <v>1</v>
      </c>
      <c r="G2306" s="459">
        <f>SUM(G2311+G2316+G2320+G2325+G2330)</f>
        <v>89.01617099999999</v>
      </c>
      <c r="H2306" s="459">
        <f aca="true" t="shared" si="16" ref="H2306:M2306">SUM(H2311+H2316+H2320+H2325+H2330)</f>
        <v>33477.240000000005</v>
      </c>
      <c r="I2306" s="442">
        <f>SUM(I2311+I2316+I2320+I2325+I2330)</f>
        <v>7.254</v>
      </c>
      <c r="J2306" s="459"/>
      <c r="K2306" s="442">
        <f t="shared" si="16"/>
        <v>19.464</v>
      </c>
      <c r="L2306" s="442">
        <f t="shared" si="16"/>
        <v>8.908</v>
      </c>
      <c r="M2306" s="442">
        <f t="shared" si="16"/>
        <v>0.128</v>
      </c>
      <c r="N2306" s="442"/>
    </row>
    <row r="2307" spans="1:14" ht="11.25" customHeight="1">
      <c r="A2307" s="682"/>
      <c r="B2307" s="314"/>
      <c r="C2307" s="679"/>
      <c r="D2307" s="400"/>
      <c r="E2307" s="277">
        <f>E2312+E2317+E2321+E2326+E2331</f>
        <v>18151.15</v>
      </c>
      <c r="F2307" s="133">
        <v>2</v>
      </c>
      <c r="G2307" s="459"/>
      <c r="H2307" s="459"/>
      <c r="I2307" s="442"/>
      <c r="J2307" s="459"/>
      <c r="K2307" s="442"/>
      <c r="L2307" s="442"/>
      <c r="M2307" s="442"/>
      <c r="N2307" s="442"/>
    </row>
    <row r="2308" spans="1:14" ht="10.5" customHeight="1">
      <c r="A2308" s="682"/>
      <c r="B2308" s="314"/>
      <c r="C2308" s="679"/>
      <c r="D2308" s="400"/>
      <c r="E2308" s="116">
        <f>E2313+E2322+E2327+E2332</f>
        <v>7154.87</v>
      </c>
      <c r="F2308" s="133" t="s">
        <v>258</v>
      </c>
      <c r="G2308" s="459"/>
      <c r="H2308" s="459"/>
      <c r="I2308" s="442"/>
      <c r="J2308" s="459"/>
      <c r="K2308" s="442"/>
      <c r="L2308" s="442"/>
      <c r="M2308" s="442"/>
      <c r="N2308" s="442"/>
    </row>
    <row r="2309" spans="1:14" ht="10.5" customHeight="1">
      <c r="A2309" s="682"/>
      <c r="B2309" s="314"/>
      <c r="C2309" s="679"/>
      <c r="D2309" s="400"/>
      <c r="E2309" s="116">
        <f>E2314+E2318+E2323+E2328+E2333</f>
        <v>46234.55</v>
      </c>
      <c r="F2309" s="133">
        <v>4</v>
      </c>
      <c r="G2309" s="459"/>
      <c r="H2309" s="459"/>
      <c r="I2309" s="442"/>
      <c r="J2309" s="459"/>
      <c r="K2309" s="442"/>
      <c r="L2309" s="442"/>
      <c r="M2309" s="442"/>
      <c r="N2309" s="442"/>
    </row>
    <row r="2310" spans="1:14" ht="10.5" customHeight="1">
      <c r="A2310" s="682"/>
      <c r="B2310" s="314"/>
      <c r="C2310" s="679"/>
      <c r="D2310" s="400"/>
      <c r="E2310" s="116">
        <f>E2306+E2307+E2309</f>
        <v>183813.08000000002</v>
      </c>
      <c r="F2310" s="133">
        <v>5</v>
      </c>
      <c r="G2310" s="459"/>
      <c r="H2310" s="459"/>
      <c r="I2310" s="442"/>
      <c r="J2310" s="459"/>
      <c r="K2310" s="442"/>
      <c r="L2310" s="442"/>
      <c r="M2310" s="442"/>
      <c r="N2310" s="442"/>
    </row>
    <row r="2311" spans="1:14" ht="10.5" customHeight="1">
      <c r="A2311" s="682"/>
      <c r="B2311" s="314"/>
      <c r="C2311" s="679"/>
      <c r="D2311" s="400">
        <v>2011</v>
      </c>
      <c r="E2311" s="116">
        <f>SUM(E2218+E2242+E2246+E2253+E2271)</f>
        <v>28464.92</v>
      </c>
      <c r="F2311" s="133">
        <v>1</v>
      </c>
      <c r="G2311" s="459">
        <v>5.04</v>
      </c>
      <c r="H2311" s="459">
        <f>SUM(H2218+H2242+H2246+H2253+H2271)</f>
        <v>8431.869999999999</v>
      </c>
      <c r="I2311" s="442">
        <f>SUM(I2218+I2242+I2246+I2253+I2271)</f>
        <v>3.075</v>
      </c>
      <c r="J2311" s="459"/>
      <c r="K2311" s="442">
        <f>SUM(K2218+K2242+K2246+K2253)</f>
        <v>1.822</v>
      </c>
      <c r="L2311" s="442">
        <f>SUM(L2218+L2242+L2246+L2253)</f>
        <v>0.322</v>
      </c>
      <c r="M2311" s="442"/>
      <c r="N2311" s="442"/>
    </row>
    <row r="2312" spans="1:14" ht="10.5" customHeight="1">
      <c r="A2312" s="682"/>
      <c r="B2312" s="314"/>
      <c r="C2312" s="679"/>
      <c r="D2312" s="400"/>
      <c r="E2312" s="116">
        <f>SUM(E2219+E2243+E2247+E2254)</f>
        <v>2027.9199999999998</v>
      </c>
      <c r="F2312" s="133">
        <v>2</v>
      </c>
      <c r="G2312" s="459"/>
      <c r="H2312" s="459"/>
      <c r="I2312" s="442"/>
      <c r="J2312" s="459"/>
      <c r="K2312" s="442"/>
      <c r="L2312" s="442"/>
      <c r="M2312" s="442"/>
      <c r="N2312" s="442"/>
    </row>
    <row r="2313" spans="1:14" ht="10.5" customHeight="1">
      <c r="A2313" s="682"/>
      <c r="B2313" s="314"/>
      <c r="C2313" s="679"/>
      <c r="D2313" s="400"/>
      <c r="E2313" s="116">
        <v>869.17</v>
      </c>
      <c r="F2313" s="133" t="s">
        <v>258</v>
      </c>
      <c r="G2313" s="459"/>
      <c r="H2313" s="459"/>
      <c r="I2313" s="442"/>
      <c r="J2313" s="459"/>
      <c r="K2313" s="442"/>
      <c r="L2313" s="442"/>
      <c r="M2313" s="442"/>
      <c r="N2313" s="442"/>
    </row>
    <row r="2314" spans="1:14" ht="10.5" customHeight="1">
      <c r="A2314" s="682"/>
      <c r="B2314" s="314"/>
      <c r="C2314" s="679"/>
      <c r="D2314" s="400"/>
      <c r="E2314" s="116">
        <f>SUM(E2221+E2272)</f>
        <v>22845</v>
      </c>
      <c r="F2314" s="133">
        <v>4</v>
      </c>
      <c r="G2314" s="459"/>
      <c r="H2314" s="459"/>
      <c r="I2314" s="442"/>
      <c r="J2314" s="459"/>
      <c r="K2314" s="442"/>
      <c r="L2314" s="442"/>
      <c r="M2314" s="442"/>
      <c r="N2314" s="442"/>
    </row>
    <row r="2315" spans="1:14" ht="10.5" customHeight="1">
      <c r="A2315" s="682"/>
      <c r="B2315" s="314"/>
      <c r="C2315" s="679"/>
      <c r="D2315" s="400"/>
      <c r="E2315" s="116">
        <f>E2311+E2312+E2314</f>
        <v>53337.84</v>
      </c>
      <c r="F2315" s="133">
        <v>5</v>
      </c>
      <c r="G2315" s="459"/>
      <c r="H2315" s="459"/>
      <c r="I2315" s="442"/>
      <c r="J2315" s="459"/>
      <c r="K2315" s="442"/>
      <c r="L2315" s="442"/>
      <c r="M2315" s="442"/>
      <c r="N2315" s="442"/>
    </row>
    <row r="2316" spans="1:14" ht="10.5" customHeight="1">
      <c r="A2316" s="682"/>
      <c r="B2316" s="314"/>
      <c r="C2316" s="679"/>
      <c r="D2316" s="400">
        <v>2012</v>
      </c>
      <c r="E2316" s="116">
        <f>SUM(E2223+E2256)</f>
        <v>3404.72</v>
      </c>
      <c r="F2316" s="133">
        <v>1</v>
      </c>
      <c r="G2316" s="459">
        <f>SUM(G2223+G2239+G2256)</f>
        <v>1.3900000000000001</v>
      </c>
      <c r="H2316" s="459">
        <f>SUM(H2223+H2239+H2256)</f>
        <v>1125.95</v>
      </c>
      <c r="I2316" s="459"/>
      <c r="J2316" s="459"/>
      <c r="K2316" s="442">
        <f>SUM(K2223+K2239+K2256)</f>
        <v>1.822</v>
      </c>
      <c r="L2316" s="442">
        <f>SUM(L2223+L2239+L2256)</f>
        <v>0.01</v>
      </c>
      <c r="M2316" s="442">
        <f>SUM(M2223+M2239+M2256)</f>
        <v>0.128</v>
      </c>
      <c r="N2316" s="442"/>
    </row>
    <row r="2317" spans="1:14" ht="10.5" customHeight="1">
      <c r="A2317" s="682"/>
      <c r="B2317" s="314"/>
      <c r="C2317" s="679"/>
      <c r="D2317" s="400"/>
      <c r="E2317" s="116">
        <f>SUM(E2224+E2239+E2257)</f>
        <v>984.74</v>
      </c>
      <c r="F2317" s="133">
        <v>2</v>
      </c>
      <c r="G2317" s="459"/>
      <c r="H2317" s="459"/>
      <c r="I2317" s="459"/>
      <c r="J2317" s="459"/>
      <c r="K2317" s="442"/>
      <c r="L2317" s="442"/>
      <c r="M2317" s="442"/>
      <c r="N2317" s="442"/>
    </row>
    <row r="2318" spans="1:14" ht="11.25" customHeight="1">
      <c r="A2318" s="682"/>
      <c r="B2318" s="314"/>
      <c r="C2318" s="679"/>
      <c r="D2318" s="400"/>
      <c r="E2318" s="116">
        <f>SUM(E2225+E2240)</f>
        <v>3389.6</v>
      </c>
      <c r="F2318" s="133">
        <v>4</v>
      </c>
      <c r="G2318" s="459"/>
      <c r="H2318" s="459"/>
      <c r="I2318" s="459"/>
      <c r="J2318" s="459"/>
      <c r="K2318" s="442"/>
      <c r="L2318" s="442"/>
      <c r="M2318" s="442"/>
      <c r="N2318" s="442"/>
    </row>
    <row r="2319" spans="1:14" ht="11.25" customHeight="1">
      <c r="A2319" s="696"/>
      <c r="B2319" s="315"/>
      <c r="C2319" s="680"/>
      <c r="D2319" s="400"/>
      <c r="E2319" s="116">
        <f>SUM(E2226+E2241+E2258)</f>
        <v>7779.0599999999995</v>
      </c>
      <c r="F2319" s="133">
        <v>5</v>
      </c>
      <c r="G2319" s="459"/>
      <c r="H2319" s="459"/>
      <c r="I2319" s="459"/>
      <c r="J2319" s="459"/>
      <c r="K2319" s="442"/>
      <c r="L2319" s="442"/>
      <c r="M2319" s="442"/>
      <c r="N2319" s="442"/>
    </row>
    <row r="2320" spans="1:14" ht="10.5" customHeight="1">
      <c r="A2320" s="681"/>
      <c r="B2320" s="685" t="s">
        <v>279</v>
      </c>
      <c r="C2320" s="678"/>
      <c r="D2320" s="400">
        <v>2013</v>
      </c>
      <c r="E2320" s="116">
        <f>E2227+E2259+E2277+E2290</f>
        <v>25104.329999999998</v>
      </c>
      <c r="F2320" s="133">
        <v>1</v>
      </c>
      <c r="G2320" s="459">
        <f>G2227+G2259+G2277+G2290</f>
        <v>26.324493</v>
      </c>
      <c r="H2320" s="459">
        <f>H2227+H2259+H2277+H2290</f>
        <v>4845.61</v>
      </c>
      <c r="I2320" s="442">
        <f>I2277</f>
        <v>1.057</v>
      </c>
      <c r="J2320" s="459"/>
      <c r="K2320" s="442">
        <f>K2227+K2259+K2290</f>
        <v>5.99</v>
      </c>
      <c r="L2320" s="442"/>
      <c r="M2320" s="442"/>
      <c r="N2320" s="442"/>
    </row>
    <row r="2321" spans="1:14" ht="10.5" customHeight="1">
      <c r="A2321" s="682"/>
      <c r="B2321" s="314"/>
      <c r="C2321" s="679"/>
      <c r="D2321" s="400"/>
      <c r="E2321" s="116">
        <f>E2228+E2260+E2278+E2291+E2302</f>
        <v>6057.34</v>
      </c>
      <c r="F2321" s="133">
        <v>2</v>
      </c>
      <c r="G2321" s="459"/>
      <c r="H2321" s="459"/>
      <c r="I2321" s="442"/>
      <c r="J2321" s="459"/>
      <c r="K2321" s="442"/>
      <c r="L2321" s="442"/>
      <c r="M2321" s="442"/>
      <c r="N2321" s="442"/>
    </row>
    <row r="2322" spans="1:14" ht="9.75" customHeight="1">
      <c r="A2322" s="682"/>
      <c r="B2322" s="314"/>
      <c r="C2322" s="679"/>
      <c r="D2322" s="400"/>
      <c r="E2322" s="116">
        <f>E2302</f>
        <v>1500</v>
      </c>
      <c r="F2322" s="133" t="s">
        <v>258</v>
      </c>
      <c r="G2322" s="459"/>
      <c r="H2322" s="459"/>
      <c r="I2322" s="442"/>
      <c r="J2322" s="459"/>
      <c r="K2322" s="442"/>
      <c r="L2322" s="442"/>
      <c r="M2322" s="442"/>
      <c r="N2322" s="442"/>
    </row>
    <row r="2323" spans="1:14" ht="9.75" customHeight="1">
      <c r="A2323" s="682"/>
      <c r="B2323" s="314"/>
      <c r="C2323" s="679"/>
      <c r="D2323" s="400"/>
      <c r="E2323" s="116">
        <f>E2229+E2292</f>
        <v>6666.65</v>
      </c>
      <c r="F2323" s="133">
        <v>4</v>
      </c>
      <c r="G2323" s="459"/>
      <c r="H2323" s="459"/>
      <c r="I2323" s="442"/>
      <c r="J2323" s="459"/>
      <c r="K2323" s="442"/>
      <c r="L2323" s="442"/>
      <c r="M2323" s="442"/>
      <c r="N2323" s="442"/>
    </row>
    <row r="2324" spans="1:14" ht="9.75" customHeight="1">
      <c r="A2324" s="682"/>
      <c r="B2324" s="314"/>
      <c r="C2324" s="679"/>
      <c r="D2324" s="400"/>
      <c r="E2324" s="116">
        <f>E2320+E2321+E2323</f>
        <v>37828.32</v>
      </c>
      <c r="F2324" s="133">
        <v>5</v>
      </c>
      <c r="G2324" s="459"/>
      <c r="H2324" s="459"/>
      <c r="I2324" s="442"/>
      <c r="J2324" s="459"/>
      <c r="K2324" s="442"/>
      <c r="L2324" s="442"/>
      <c r="M2324" s="442"/>
      <c r="N2324" s="442"/>
    </row>
    <row r="2325" spans="1:14" ht="9.75" customHeight="1">
      <c r="A2325" s="682"/>
      <c r="B2325" s="314"/>
      <c r="C2325" s="679"/>
      <c r="D2325" s="400">
        <v>2014</v>
      </c>
      <c r="E2325" s="116">
        <f>E2231+E2280+E2294</f>
        <v>26595.055</v>
      </c>
      <c r="F2325" s="133">
        <v>1</v>
      </c>
      <c r="G2325" s="459">
        <f>G2231+G2265+G2280+G2294</f>
        <v>26.903589</v>
      </c>
      <c r="H2325" s="459">
        <f>H2231+H2265+H2280+H2294</f>
        <v>5643.025</v>
      </c>
      <c r="I2325" s="442">
        <f>I2280</f>
        <v>1.561</v>
      </c>
      <c r="J2325" s="459"/>
      <c r="K2325" s="442">
        <f>K2231+K2294</f>
        <v>4.912</v>
      </c>
      <c r="L2325" s="442">
        <f>L2265</f>
        <v>0.438</v>
      </c>
      <c r="M2325" s="442"/>
      <c r="N2325" s="442"/>
    </row>
    <row r="2326" spans="1:14" ht="10.5" customHeight="1">
      <c r="A2326" s="682"/>
      <c r="B2326" s="314"/>
      <c r="C2326" s="679"/>
      <c r="D2326" s="400"/>
      <c r="E2326" s="116">
        <f>E2232+E2265+E2281+E2295</f>
        <v>2480.225</v>
      </c>
      <c r="F2326" s="133">
        <v>2</v>
      </c>
      <c r="G2326" s="459"/>
      <c r="H2326" s="459"/>
      <c r="I2326" s="442"/>
      <c r="J2326" s="459"/>
      <c r="K2326" s="442"/>
      <c r="L2326" s="442"/>
      <c r="M2326" s="442"/>
      <c r="N2326" s="442"/>
    </row>
    <row r="2327" spans="1:14" ht="10.5" customHeight="1">
      <c r="A2327" s="682"/>
      <c r="B2327" s="314"/>
      <c r="C2327" s="679"/>
      <c r="D2327" s="400"/>
      <c r="E2327" s="116">
        <f>E2266</f>
        <v>250</v>
      </c>
      <c r="F2327" s="133" t="s">
        <v>258</v>
      </c>
      <c r="G2327" s="459"/>
      <c r="H2327" s="459"/>
      <c r="I2327" s="442"/>
      <c r="J2327" s="459"/>
      <c r="K2327" s="442"/>
      <c r="L2327" s="442"/>
      <c r="M2327" s="442"/>
      <c r="N2327" s="442"/>
    </row>
    <row r="2328" spans="1:14" ht="10.5" customHeight="1">
      <c r="A2328" s="682"/>
      <c r="B2328" s="314"/>
      <c r="C2328" s="679"/>
      <c r="D2328" s="400"/>
      <c r="E2328" s="116">
        <f>E2233+E2296</f>
        <v>6666.65</v>
      </c>
      <c r="F2328" s="133">
        <v>4</v>
      </c>
      <c r="G2328" s="459"/>
      <c r="H2328" s="459"/>
      <c r="I2328" s="442"/>
      <c r="J2328" s="459"/>
      <c r="K2328" s="442"/>
      <c r="L2328" s="442"/>
      <c r="M2328" s="442"/>
      <c r="N2328" s="442"/>
    </row>
    <row r="2329" spans="1:14" ht="9.75" customHeight="1">
      <c r="A2329" s="682"/>
      <c r="B2329" s="314"/>
      <c r="C2329" s="679"/>
      <c r="D2329" s="400"/>
      <c r="E2329" s="116">
        <f>E2325+E2326+E2328</f>
        <v>35741.93</v>
      </c>
      <c r="F2329" s="133">
        <v>5</v>
      </c>
      <c r="G2329" s="459"/>
      <c r="H2329" s="459"/>
      <c r="I2329" s="442"/>
      <c r="J2329" s="459"/>
      <c r="K2329" s="442"/>
      <c r="L2329" s="442"/>
      <c r="M2329" s="442"/>
      <c r="N2329" s="442"/>
    </row>
    <row r="2330" spans="1:14" ht="10.5" customHeight="1">
      <c r="A2330" s="682"/>
      <c r="B2330" s="314"/>
      <c r="C2330" s="679"/>
      <c r="D2330" s="400">
        <v>2015</v>
      </c>
      <c r="E2330" s="116">
        <f>E2235+E2283+E2298+E2303</f>
        <v>35858.354999999996</v>
      </c>
      <c r="F2330" s="133">
        <v>1</v>
      </c>
      <c r="G2330" s="459">
        <f>G2235+G2268+G2283+G2298+G2303</f>
        <v>29.358089</v>
      </c>
      <c r="H2330" s="459">
        <f>H2235+H2268+H2283+H2298+H2303</f>
        <v>13430.785</v>
      </c>
      <c r="I2330" s="442">
        <f>I2283</f>
        <v>1.561</v>
      </c>
      <c r="J2330" s="459"/>
      <c r="K2330" s="442">
        <f>K2235+K2298</f>
        <v>4.918</v>
      </c>
      <c r="L2330" s="442">
        <f>L2268+L2303</f>
        <v>8.138</v>
      </c>
      <c r="M2330" s="442"/>
      <c r="N2330" s="442"/>
    </row>
    <row r="2331" spans="1:14" ht="10.5" customHeight="1">
      <c r="A2331" s="682"/>
      <c r="B2331" s="314"/>
      <c r="C2331" s="679"/>
      <c r="D2331" s="400"/>
      <c r="E2331" s="116">
        <f>E2236+E2268+E2284+E2299+E2304</f>
        <v>6600.924999999999</v>
      </c>
      <c r="F2331" s="133">
        <v>2</v>
      </c>
      <c r="G2331" s="459"/>
      <c r="H2331" s="459"/>
      <c r="I2331" s="442"/>
      <c r="J2331" s="459"/>
      <c r="K2331" s="442"/>
      <c r="L2331" s="442"/>
      <c r="M2331" s="442"/>
      <c r="N2331" s="442"/>
    </row>
    <row r="2332" spans="1:14" ht="10.5" customHeight="1">
      <c r="A2332" s="682"/>
      <c r="B2332" s="314"/>
      <c r="C2332" s="679"/>
      <c r="D2332" s="400"/>
      <c r="E2332" s="116">
        <f>E2269+E2304</f>
        <v>4535.7</v>
      </c>
      <c r="F2332" s="133" t="s">
        <v>258</v>
      </c>
      <c r="G2332" s="459"/>
      <c r="H2332" s="459"/>
      <c r="I2332" s="442"/>
      <c r="J2332" s="459"/>
      <c r="K2332" s="442"/>
      <c r="L2332" s="442"/>
      <c r="M2332" s="442"/>
      <c r="N2332" s="442"/>
    </row>
    <row r="2333" spans="1:14" ht="9.75" customHeight="1">
      <c r="A2333" s="682"/>
      <c r="B2333" s="314"/>
      <c r="C2333" s="679"/>
      <c r="D2333" s="400"/>
      <c r="E2333" s="116">
        <f>E2237+E2300</f>
        <v>6666.65</v>
      </c>
      <c r="F2333" s="133">
        <v>4</v>
      </c>
      <c r="G2333" s="459"/>
      <c r="H2333" s="459"/>
      <c r="I2333" s="442"/>
      <c r="J2333" s="459"/>
      <c r="K2333" s="442"/>
      <c r="L2333" s="442"/>
      <c r="M2333" s="442"/>
      <c r="N2333" s="442"/>
    </row>
    <row r="2334" spans="1:14" ht="9.75" customHeight="1">
      <c r="A2334" s="696"/>
      <c r="B2334" s="315"/>
      <c r="C2334" s="680"/>
      <c r="D2334" s="400"/>
      <c r="E2334" s="116">
        <f>E2330+E2331+E2333</f>
        <v>49125.93</v>
      </c>
      <c r="F2334" s="133">
        <v>5</v>
      </c>
      <c r="G2334" s="459"/>
      <c r="H2334" s="459"/>
      <c r="I2334" s="442"/>
      <c r="J2334" s="459"/>
      <c r="K2334" s="442"/>
      <c r="L2334" s="442"/>
      <c r="M2334" s="442"/>
      <c r="N2334" s="442"/>
    </row>
    <row r="2335" spans="1:14" ht="11.25" customHeight="1">
      <c r="A2335" s="681"/>
      <c r="B2335" s="683" t="s">
        <v>447</v>
      </c>
      <c r="C2335" s="332"/>
      <c r="D2335" s="332" t="s">
        <v>158</v>
      </c>
      <c r="E2335" s="116">
        <v>2500</v>
      </c>
      <c r="F2335" s="133">
        <v>2</v>
      </c>
      <c r="G2335" s="653"/>
      <c r="H2335" s="653"/>
      <c r="I2335" s="653"/>
      <c r="J2335" s="653"/>
      <c r="K2335" s="481"/>
      <c r="L2335" s="481"/>
      <c r="M2335" s="481"/>
      <c r="N2335" s="481"/>
    </row>
    <row r="2336" spans="1:14" ht="9.75" customHeight="1">
      <c r="A2336" s="682"/>
      <c r="B2336" s="684"/>
      <c r="C2336" s="333"/>
      <c r="D2336" s="333"/>
      <c r="E2336" s="116">
        <v>2500</v>
      </c>
      <c r="F2336" s="133" t="s">
        <v>258</v>
      </c>
      <c r="G2336" s="654"/>
      <c r="H2336" s="654"/>
      <c r="I2336" s="654"/>
      <c r="J2336" s="654"/>
      <c r="K2336" s="482"/>
      <c r="L2336" s="482"/>
      <c r="M2336" s="482"/>
      <c r="N2336" s="482"/>
    </row>
    <row r="2337" spans="1:14" ht="11.25" customHeight="1">
      <c r="A2337" s="682"/>
      <c r="B2337" s="684"/>
      <c r="C2337" s="333"/>
      <c r="D2337" s="307"/>
      <c r="E2337" s="116">
        <v>2500</v>
      </c>
      <c r="F2337" s="133">
        <v>5</v>
      </c>
      <c r="G2337" s="655"/>
      <c r="H2337" s="655"/>
      <c r="I2337" s="655"/>
      <c r="J2337" s="655"/>
      <c r="K2337" s="483"/>
      <c r="L2337" s="483"/>
      <c r="M2337" s="483"/>
      <c r="N2337" s="483"/>
    </row>
    <row r="2338" spans="1:14" ht="10.5" customHeight="1">
      <c r="A2338" s="394"/>
      <c r="B2338" s="353"/>
      <c r="C2338" s="408"/>
      <c r="D2338" s="104">
        <v>2011</v>
      </c>
      <c r="E2338" s="116">
        <v>500</v>
      </c>
      <c r="F2338" s="133" t="s">
        <v>258</v>
      </c>
      <c r="G2338" s="63"/>
      <c r="H2338" s="63"/>
      <c r="I2338" s="63"/>
      <c r="J2338" s="63"/>
      <c r="K2338" s="64"/>
      <c r="L2338" s="64"/>
      <c r="M2338" s="64"/>
      <c r="N2338" s="64"/>
    </row>
    <row r="2339" spans="1:14" ht="10.5" customHeight="1">
      <c r="A2339" s="394"/>
      <c r="B2339" s="353"/>
      <c r="C2339" s="408"/>
      <c r="D2339" s="104">
        <v>2012</v>
      </c>
      <c r="E2339" s="116">
        <v>500</v>
      </c>
      <c r="F2339" s="133" t="s">
        <v>258</v>
      </c>
      <c r="G2339" s="63"/>
      <c r="H2339" s="63"/>
      <c r="I2339" s="63"/>
      <c r="J2339" s="63"/>
      <c r="K2339" s="64"/>
      <c r="L2339" s="64"/>
      <c r="M2339" s="64"/>
      <c r="N2339" s="64"/>
    </row>
    <row r="2340" spans="1:14" ht="10.5" customHeight="1">
      <c r="A2340" s="394"/>
      <c r="B2340" s="353"/>
      <c r="C2340" s="408"/>
      <c r="D2340" s="104">
        <v>2013</v>
      </c>
      <c r="E2340" s="116">
        <v>500</v>
      </c>
      <c r="F2340" s="133" t="s">
        <v>258</v>
      </c>
      <c r="G2340" s="63"/>
      <c r="H2340" s="63"/>
      <c r="I2340" s="63"/>
      <c r="J2340" s="63"/>
      <c r="K2340" s="64"/>
      <c r="L2340" s="64"/>
      <c r="M2340" s="64"/>
      <c r="N2340" s="64"/>
    </row>
    <row r="2341" spans="1:14" ht="11.25" customHeight="1">
      <c r="A2341" s="394"/>
      <c r="B2341" s="353"/>
      <c r="C2341" s="408"/>
      <c r="D2341" s="104">
        <v>2014</v>
      </c>
      <c r="E2341" s="116">
        <v>500</v>
      </c>
      <c r="F2341" s="133" t="s">
        <v>258</v>
      </c>
      <c r="G2341" s="63"/>
      <c r="H2341" s="63"/>
      <c r="I2341" s="63"/>
      <c r="J2341" s="63"/>
      <c r="K2341" s="64"/>
      <c r="L2341" s="64"/>
      <c r="M2341" s="64"/>
      <c r="N2341" s="64"/>
    </row>
    <row r="2342" spans="1:14" ht="10.5" customHeight="1">
      <c r="A2342" s="413"/>
      <c r="B2342" s="354"/>
      <c r="C2342" s="409"/>
      <c r="D2342" s="104">
        <v>2015</v>
      </c>
      <c r="E2342" s="116">
        <v>500</v>
      </c>
      <c r="F2342" s="133" t="s">
        <v>258</v>
      </c>
      <c r="G2342" s="63"/>
      <c r="H2342" s="63"/>
      <c r="I2342" s="63"/>
      <c r="J2342" s="63"/>
      <c r="K2342" s="64"/>
      <c r="L2342" s="64"/>
      <c r="M2342" s="64"/>
      <c r="N2342" s="64"/>
    </row>
    <row r="2343" spans="1:14" ht="41.25" customHeight="1">
      <c r="A2343" s="108"/>
      <c r="B2343" s="278" t="s">
        <v>469</v>
      </c>
      <c r="C2343" s="279"/>
      <c r="D2343" s="132">
        <v>2011</v>
      </c>
      <c r="E2343" s="116">
        <v>500</v>
      </c>
      <c r="F2343" s="133" t="s">
        <v>258</v>
      </c>
      <c r="G2343" s="63"/>
      <c r="H2343" s="63"/>
      <c r="I2343" s="63"/>
      <c r="J2343" s="63"/>
      <c r="K2343" s="64"/>
      <c r="L2343" s="64"/>
      <c r="M2343" s="64"/>
      <c r="N2343" s="64"/>
    </row>
    <row r="2344" spans="1:14" ht="11.25" customHeight="1">
      <c r="A2344" s="285"/>
      <c r="B2344" s="286" t="s">
        <v>286</v>
      </c>
      <c r="C2344" s="286"/>
      <c r="D2344" s="286" t="s">
        <v>158</v>
      </c>
      <c r="E2344" s="50">
        <v>7117342.75</v>
      </c>
      <c r="F2344" s="51">
        <v>1</v>
      </c>
      <c r="G2344" s="437">
        <v>3524.98</v>
      </c>
      <c r="H2344" s="437">
        <f aca="true" t="shared" si="17" ref="H2344:N2344">SUM(H2350:H2379)</f>
        <v>6689772.115</v>
      </c>
      <c r="I2344" s="340">
        <f t="shared" si="17"/>
        <v>1246.6595</v>
      </c>
      <c r="J2344" s="340">
        <f t="shared" si="17"/>
        <v>5.376379310344828</v>
      </c>
      <c r="K2344" s="340">
        <f t="shared" si="17"/>
        <v>1145.8929</v>
      </c>
      <c r="L2344" s="340">
        <f t="shared" si="17"/>
        <v>1956.90058</v>
      </c>
      <c r="M2344" s="340">
        <v>171.436</v>
      </c>
      <c r="N2344" s="340">
        <f t="shared" si="17"/>
        <v>450.346</v>
      </c>
    </row>
    <row r="2345" spans="1:14" ht="10.5" customHeight="1">
      <c r="A2345" s="285"/>
      <c r="B2345" s="286"/>
      <c r="C2345" s="286"/>
      <c r="D2345" s="286"/>
      <c r="E2345" s="50">
        <v>1295386.65</v>
      </c>
      <c r="F2345" s="51">
        <v>2</v>
      </c>
      <c r="G2345" s="437"/>
      <c r="H2345" s="437"/>
      <c r="I2345" s="340"/>
      <c r="J2345" s="340"/>
      <c r="K2345" s="340"/>
      <c r="L2345" s="340"/>
      <c r="M2345" s="340"/>
      <c r="N2345" s="340"/>
    </row>
    <row r="2346" spans="1:14" ht="11.25" customHeight="1">
      <c r="A2346" s="285"/>
      <c r="B2346" s="286"/>
      <c r="C2346" s="286"/>
      <c r="D2346" s="286"/>
      <c r="E2346" s="50">
        <f>E2352+E2358+E2364+E2370+E2376</f>
        <v>350772.54000000004</v>
      </c>
      <c r="F2346" s="51" t="s">
        <v>258</v>
      </c>
      <c r="G2346" s="437"/>
      <c r="H2346" s="437"/>
      <c r="I2346" s="340"/>
      <c r="J2346" s="340"/>
      <c r="K2346" s="340"/>
      <c r="L2346" s="340"/>
      <c r="M2346" s="340"/>
      <c r="N2346" s="340"/>
    </row>
    <row r="2347" spans="1:14" ht="11.25" customHeight="1">
      <c r="A2347" s="285"/>
      <c r="B2347" s="286"/>
      <c r="C2347" s="286"/>
      <c r="D2347" s="286"/>
      <c r="E2347" s="50">
        <f>E2353+E2359+E2365+E2371+E2377</f>
        <v>11746201.149999999</v>
      </c>
      <c r="F2347" s="51">
        <v>3</v>
      </c>
      <c r="G2347" s="437"/>
      <c r="H2347" s="437"/>
      <c r="I2347" s="340"/>
      <c r="J2347" s="340"/>
      <c r="K2347" s="340"/>
      <c r="L2347" s="340"/>
      <c r="M2347" s="340"/>
      <c r="N2347" s="340"/>
    </row>
    <row r="2348" spans="1:14" ht="11.25" customHeight="1">
      <c r="A2348" s="285"/>
      <c r="B2348" s="286"/>
      <c r="C2348" s="286"/>
      <c r="D2348" s="286"/>
      <c r="E2348" s="50">
        <f>E2354+E2360+E2366+E2372+E2378</f>
        <v>5441609.859999999</v>
      </c>
      <c r="F2348" s="51">
        <v>4</v>
      </c>
      <c r="G2348" s="437"/>
      <c r="H2348" s="437"/>
      <c r="I2348" s="340"/>
      <c r="J2348" s="340"/>
      <c r="K2348" s="340"/>
      <c r="L2348" s="340"/>
      <c r="M2348" s="340"/>
      <c r="N2348" s="340"/>
    </row>
    <row r="2349" spans="1:14" ht="9.75" customHeight="1">
      <c r="A2349" s="285"/>
      <c r="B2349" s="286"/>
      <c r="C2349" s="286"/>
      <c r="D2349" s="286"/>
      <c r="E2349" s="50">
        <f>E2344+E2345+E2347+E2348</f>
        <v>25600540.409999996</v>
      </c>
      <c r="F2349" s="51">
        <v>5</v>
      </c>
      <c r="G2349" s="437"/>
      <c r="H2349" s="437"/>
      <c r="I2349" s="340"/>
      <c r="J2349" s="340"/>
      <c r="K2349" s="340"/>
      <c r="L2349" s="340"/>
      <c r="M2349" s="340"/>
      <c r="N2349" s="340"/>
    </row>
    <row r="2350" spans="1:14" ht="10.5" customHeight="1">
      <c r="A2350" s="285"/>
      <c r="B2350" s="286"/>
      <c r="C2350" s="286"/>
      <c r="D2350" s="456">
        <v>2011</v>
      </c>
      <c r="E2350" s="50">
        <f>E131+E695+E1616+E2018+E2182+E2311</f>
        <v>1354363.6809999999</v>
      </c>
      <c r="F2350" s="51">
        <v>1</v>
      </c>
      <c r="G2350" s="437">
        <v>597.89</v>
      </c>
      <c r="H2350" s="437">
        <f aca="true" t="shared" si="18" ref="H2350:N2350">H131+H240+H299+H487+H552+H571+H592+H695+H719+H734+H1616+H2018+H2182+H2311</f>
        <v>752387.5900000002</v>
      </c>
      <c r="I2350" s="340">
        <f t="shared" si="18"/>
        <v>189.78500000000003</v>
      </c>
      <c r="J2350" s="340">
        <f t="shared" si="18"/>
        <v>2.0902758620689657</v>
      </c>
      <c r="K2350" s="340">
        <f t="shared" si="18"/>
        <v>138.41899999999998</v>
      </c>
      <c r="L2350" s="340">
        <f t="shared" si="18"/>
        <v>385.87257999999997</v>
      </c>
      <c r="M2350" s="340">
        <f t="shared" si="18"/>
        <v>36.979000000000006</v>
      </c>
      <c r="N2350" s="340">
        <f t="shared" si="18"/>
        <v>39.800000000000004</v>
      </c>
    </row>
    <row r="2351" spans="1:14" ht="10.5" customHeight="1">
      <c r="A2351" s="285"/>
      <c r="B2351" s="286"/>
      <c r="C2351" s="286"/>
      <c r="D2351" s="456"/>
      <c r="E2351" s="50">
        <f>E1617+E2019+E2183+E2312+E2338+E2343</f>
        <v>224002.30000000002</v>
      </c>
      <c r="F2351" s="51">
        <v>2</v>
      </c>
      <c r="G2351" s="437"/>
      <c r="H2351" s="437"/>
      <c r="I2351" s="340"/>
      <c r="J2351" s="340"/>
      <c r="K2351" s="340"/>
      <c r="L2351" s="340"/>
      <c r="M2351" s="340"/>
      <c r="N2351" s="340"/>
    </row>
    <row r="2352" spans="1:14" ht="10.5" customHeight="1">
      <c r="A2352" s="285"/>
      <c r="B2352" s="286"/>
      <c r="C2352" s="286"/>
      <c r="D2352" s="456"/>
      <c r="E2352" s="50">
        <f>E1618+E2020+E2184+E2313+E2338+E2343</f>
        <v>56463.83</v>
      </c>
      <c r="F2352" s="51" t="s">
        <v>258</v>
      </c>
      <c r="G2352" s="437"/>
      <c r="H2352" s="437"/>
      <c r="I2352" s="340"/>
      <c r="J2352" s="340"/>
      <c r="K2352" s="340"/>
      <c r="L2352" s="340"/>
      <c r="M2352" s="340"/>
      <c r="N2352" s="340"/>
    </row>
    <row r="2353" spans="1:14" ht="10.5" customHeight="1">
      <c r="A2353" s="285"/>
      <c r="B2353" s="286"/>
      <c r="C2353" s="286"/>
      <c r="D2353" s="456"/>
      <c r="E2353" s="50">
        <f>E132+E240+E299+E487+E552+E571+E592+E696+E719+E734+E1619+E2021+E2185</f>
        <v>1406782</v>
      </c>
      <c r="F2353" s="51">
        <v>3</v>
      </c>
      <c r="G2353" s="437"/>
      <c r="H2353" s="437"/>
      <c r="I2353" s="340"/>
      <c r="J2353" s="340"/>
      <c r="K2353" s="340"/>
      <c r="L2353" s="340"/>
      <c r="M2353" s="340"/>
      <c r="N2353" s="340"/>
    </row>
    <row r="2354" spans="1:14" ht="10.5" customHeight="1">
      <c r="A2354" s="285"/>
      <c r="B2354" s="286"/>
      <c r="C2354" s="286"/>
      <c r="D2354" s="456"/>
      <c r="E2354" s="50">
        <f>E$133+E$241+E$593+E$697+E$720+E$1620+E$2022+E$2186+E$2314+E488</f>
        <v>1348698.21</v>
      </c>
      <c r="F2354" s="51">
        <v>4</v>
      </c>
      <c r="G2354" s="437"/>
      <c r="H2354" s="437"/>
      <c r="I2354" s="340"/>
      <c r="J2354" s="340"/>
      <c r="K2354" s="340"/>
      <c r="L2354" s="340"/>
      <c r="M2354" s="340"/>
      <c r="N2354" s="340"/>
    </row>
    <row r="2355" spans="1:14" ht="10.5" customHeight="1">
      <c r="A2355" s="285"/>
      <c r="B2355" s="286"/>
      <c r="C2355" s="286"/>
      <c r="D2355" s="456"/>
      <c r="E2355" s="50">
        <f>SUM(E2350,E2351,E2353,E2354)</f>
        <v>4333846.191</v>
      </c>
      <c r="F2355" s="51">
        <v>5</v>
      </c>
      <c r="G2355" s="437"/>
      <c r="H2355" s="437"/>
      <c r="I2355" s="340"/>
      <c r="J2355" s="340"/>
      <c r="K2355" s="340"/>
      <c r="L2355" s="340"/>
      <c r="M2355" s="340"/>
      <c r="N2355" s="340"/>
    </row>
    <row r="2356" spans="1:14" ht="10.5" customHeight="1">
      <c r="A2356" s="285"/>
      <c r="B2356" s="286"/>
      <c r="C2356" s="286"/>
      <c r="D2356" s="456">
        <v>2012</v>
      </c>
      <c r="E2356" s="50">
        <f>E$135+E$699+E$1622+E$2024+E$2316+E$2188</f>
        <v>1474258.576</v>
      </c>
      <c r="F2356" s="51">
        <v>1</v>
      </c>
      <c r="G2356" s="607">
        <v>577.3</v>
      </c>
      <c r="H2356" s="607">
        <f aca="true" t="shared" si="19" ref="H2356:N2356">H135+H243+H$300+H490+H$553+H$572+H595+H699+H722+H$735+H1622+H2024+H2188+H2316</f>
        <v>898923.139</v>
      </c>
      <c r="I2356" s="610">
        <f t="shared" si="19"/>
        <v>249.104</v>
      </c>
      <c r="J2356" s="610">
        <f t="shared" si="19"/>
        <v>1.01</v>
      </c>
      <c r="K2356" s="610">
        <f t="shared" si="19"/>
        <v>174.643</v>
      </c>
      <c r="L2356" s="610">
        <f t="shared" si="19"/>
        <v>379.704</v>
      </c>
      <c r="M2356" s="610">
        <f t="shared" si="19"/>
        <v>29.776</v>
      </c>
      <c r="N2356" s="610">
        <f t="shared" si="19"/>
        <v>49.889</v>
      </c>
    </row>
    <row r="2357" spans="1:14" ht="10.5" customHeight="1">
      <c r="A2357" s="285"/>
      <c r="B2357" s="286"/>
      <c r="C2357" s="286"/>
      <c r="D2357" s="456"/>
      <c r="E2357" s="50">
        <f>E$1623+E$2025+E$2189+E$2317+E$2339</f>
        <v>228423.24999999997</v>
      </c>
      <c r="F2357" s="51">
        <v>2</v>
      </c>
      <c r="G2357" s="608"/>
      <c r="H2357" s="608"/>
      <c r="I2357" s="611"/>
      <c r="J2357" s="611"/>
      <c r="K2357" s="611"/>
      <c r="L2357" s="611"/>
      <c r="M2357" s="611"/>
      <c r="N2357" s="611"/>
    </row>
    <row r="2358" spans="1:14" ht="9.75" customHeight="1">
      <c r="A2358" s="285"/>
      <c r="B2358" s="286"/>
      <c r="C2358" s="286"/>
      <c r="D2358" s="456"/>
      <c r="E2358" s="50">
        <f>E$1624+E$2026+E$2190+E$2339</f>
        <v>64189.880000000005</v>
      </c>
      <c r="F2358" s="51" t="s">
        <v>258</v>
      </c>
      <c r="G2358" s="608"/>
      <c r="H2358" s="608"/>
      <c r="I2358" s="611"/>
      <c r="J2358" s="611"/>
      <c r="K2358" s="611"/>
      <c r="L2358" s="611"/>
      <c r="M2358" s="611"/>
      <c r="N2358" s="611"/>
    </row>
    <row r="2359" spans="1:14" ht="9.75" customHeight="1">
      <c r="A2359" s="285"/>
      <c r="B2359" s="286"/>
      <c r="C2359" s="286"/>
      <c r="D2359" s="456"/>
      <c r="E2359" s="50">
        <f>E$136+E$243+E$300+E$490+E$553+E$572+E$595+E$700+E$722+E$735+E$1625+E$2027+E$2191</f>
        <v>1472217.3</v>
      </c>
      <c r="F2359" s="51">
        <v>3</v>
      </c>
      <c r="G2359" s="608"/>
      <c r="H2359" s="608"/>
      <c r="I2359" s="611"/>
      <c r="J2359" s="611"/>
      <c r="K2359" s="611"/>
      <c r="L2359" s="611"/>
      <c r="M2359" s="611"/>
      <c r="N2359" s="611"/>
    </row>
    <row r="2360" spans="1:14" ht="10.5" customHeight="1">
      <c r="A2360" s="285"/>
      <c r="B2360" s="286"/>
      <c r="C2360" s="286"/>
      <c r="D2360" s="456"/>
      <c r="E2360" s="50">
        <f>E$137+E$244+E$491+E$596+E$701+E$723+E$1626+E$2028+E$2192+E$2318</f>
        <v>2745502.9099999997</v>
      </c>
      <c r="F2360" s="51">
        <v>4</v>
      </c>
      <c r="G2360" s="608"/>
      <c r="H2360" s="608"/>
      <c r="I2360" s="611"/>
      <c r="J2360" s="611"/>
      <c r="K2360" s="611"/>
      <c r="L2360" s="611"/>
      <c r="M2360" s="611"/>
      <c r="N2360" s="611"/>
    </row>
    <row r="2361" spans="1:14" ht="10.5" customHeight="1">
      <c r="A2361" s="285"/>
      <c r="B2361" s="286"/>
      <c r="C2361" s="286"/>
      <c r="D2361" s="456"/>
      <c r="E2361" s="50">
        <f>SUM(E2356,E2357,E2359,E2360)</f>
        <v>5920402.036</v>
      </c>
      <c r="F2361" s="51">
        <v>5</v>
      </c>
      <c r="G2361" s="609"/>
      <c r="H2361" s="609"/>
      <c r="I2361" s="579"/>
      <c r="J2361" s="579"/>
      <c r="K2361" s="579"/>
      <c r="L2361" s="579"/>
      <c r="M2361" s="579"/>
      <c r="N2361" s="579"/>
    </row>
    <row r="2362" spans="1:14" ht="11.25" customHeight="1">
      <c r="A2362" s="285"/>
      <c r="B2362" s="286"/>
      <c r="C2362" s="286"/>
      <c r="D2362" s="456">
        <v>2013</v>
      </c>
      <c r="E2362" s="50">
        <f>E$139+E$703+E$1628+E$2030+E$2320+E$2194</f>
        <v>1567536.4710000001</v>
      </c>
      <c r="F2362" s="51">
        <v>1</v>
      </c>
      <c r="G2362" s="607">
        <f>G139+G$246+G$301+G493+G$554+G$573+G$598+G703+G725+G736+G1628+G2030+G2194+G2320</f>
        <v>575.2907379999999</v>
      </c>
      <c r="H2362" s="607">
        <f aca="true" t="shared" si="20" ref="H2362:N2362">H139+H246+H301+H493+H554+H573+H598+H703+H725+H736+H1628+H2030+H2194+H2320</f>
        <v>730500.241</v>
      </c>
      <c r="I2362" s="610">
        <f t="shared" si="20"/>
        <v>176.129</v>
      </c>
      <c r="J2362" s="610">
        <f t="shared" si="20"/>
        <v>1.554137931034483</v>
      </c>
      <c r="K2362" s="610">
        <f t="shared" si="20"/>
        <v>316.1309</v>
      </c>
      <c r="L2362" s="610">
        <f t="shared" si="20"/>
        <v>378.701</v>
      </c>
      <c r="M2362" s="610">
        <f t="shared" si="20"/>
        <v>37.132</v>
      </c>
      <c r="N2362" s="610">
        <f t="shared" si="20"/>
        <v>3.052</v>
      </c>
    </row>
    <row r="2363" spans="1:14" ht="11.25" customHeight="1">
      <c r="A2363" s="285"/>
      <c r="B2363" s="286"/>
      <c r="C2363" s="286"/>
      <c r="D2363" s="484"/>
      <c r="E2363" s="50">
        <f>E$1629+E$2031+E$2195+E$2321+E$2340</f>
        <v>273332.011</v>
      </c>
      <c r="F2363" s="51">
        <v>2</v>
      </c>
      <c r="G2363" s="608"/>
      <c r="H2363" s="608"/>
      <c r="I2363" s="611"/>
      <c r="J2363" s="611"/>
      <c r="K2363" s="611"/>
      <c r="L2363" s="611"/>
      <c r="M2363" s="611"/>
      <c r="N2363" s="611"/>
    </row>
    <row r="2364" spans="1:14" ht="11.25" customHeight="1">
      <c r="A2364" s="285"/>
      <c r="B2364" s="286"/>
      <c r="C2364" s="286"/>
      <c r="D2364" s="484"/>
      <c r="E2364" s="50">
        <v>71901.82</v>
      </c>
      <c r="F2364" s="51" t="s">
        <v>258</v>
      </c>
      <c r="G2364" s="608"/>
      <c r="H2364" s="608"/>
      <c r="I2364" s="611"/>
      <c r="J2364" s="611"/>
      <c r="K2364" s="611"/>
      <c r="L2364" s="611"/>
      <c r="M2364" s="611"/>
      <c r="N2364" s="611"/>
    </row>
    <row r="2365" spans="1:14" ht="10.5" customHeight="1">
      <c r="A2365" s="285"/>
      <c r="B2365" s="286"/>
      <c r="C2365" s="286"/>
      <c r="D2365" s="484"/>
      <c r="E2365" s="50">
        <f>E$140+E$246+E$301+E$493+E$554+E$573+E$598+E$704+E$725+E$736+E$1631+E$2033+E$2197</f>
        <v>4373312.499999999</v>
      </c>
      <c r="F2365" s="51">
        <v>3</v>
      </c>
      <c r="G2365" s="608"/>
      <c r="H2365" s="608"/>
      <c r="I2365" s="611"/>
      <c r="J2365" s="611"/>
      <c r="K2365" s="611"/>
      <c r="L2365" s="611"/>
      <c r="M2365" s="611"/>
      <c r="N2365" s="611"/>
    </row>
    <row r="2366" spans="1:14" ht="10.5" customHeight="1">
      <c r="A2366" s="285"/>
      <c r="B2366" s="286"/>
      <c r="C2366" s="286"/>
      <c r="D2366" s="484"/>
      <c r="E2366" s="50">
        <v>565253.66</v>
      </c>
      <c r="F2366" s="51">
        <v>4</v>
      </c>
      <c r="G2366" s="608"/>
      <c r="H2366" s="608"/>
      <c r="I2366" s="611"/>
      <c r="J2366" s="611"/>
      <c r="K2366" s="611"/>
      <c r="L2366" s="611"/>
      <c r="M2366" s="611"/>
      <c r="N2366" s="611"/>
    </row>
    <row r="2367" spans="1:14" ht="10.5" customHeight="1">
      <c r="A2367" s="285"/>
      <c r="B2367" s="286"/>
      <c r="C2367" s="286"/>
      <c r="D2367" s="484"/>
      <c r="E2367" s="50">
        <f>SUM(E2362,E2363,E2365,E2366)</f>
        <v>6779434.641999999</v>
      </c>
      <c r="F2367" s="51">
        <v>5</v>
      </c>
      <c r="G2367" s="609"/>
      <c r="H2367" s="609"/>
      <c r="I2367" s="579"/>
      <c r="J2367" s="579"/>
      <c r="K2367" s="579"/>
      <c r="L2367" s="579"/>
      <c r="M2367" s="579"/>
      <c r="N2367" s="579"/>
    </row>
    <row r="2368" spans="1:14" ht="10.5" customHeight="1">
      <c r="A2368" s="285"/>
      <c r="B2368" s="286"/>
      <c r="C2368" s="286"/>
      <c r="D2368" s="285">
        <v>2014</v>
      </c>
      <c r="E2368" s="50">
        <f>E$143+E$707+E$1634+E$2036+E$2325+E$2200</f>
        <v>1446042.106</v>
      </c>
      <c r="F2368" s="51">
        <v>1</v>
      </c>
      <c r="G2368" s="607">
        <f>G143+G$247+G$302+G496+G$555+G$574+G601+G707+G728+G737+G1634+G2036+G2200+G2325</f>
        <v>550.1216180000001</v>
      </c>
      <c r="H2368" s="607">
        <f aca="true" t="shared" si="21" ref="H2368:N2368">H143+H247+H302+H496+H555+H574+H601+H707+H728+H737+H1634+H2036+H2200+H2325</f>
        <v>834200.8450000001</v>
      </c>
      <c r="I2368" s="610">
        <f t="shared" si="21"/>
        <v>191.94600000000003</v>
      </c>
      <c r="J2368" s="610">
        <f t="shared" si="21"/>
        <v>0.4429655172413793</v>
      </c>
      <c r="K2368" s="610">
        <f t="shared" si="21"/>
        <v>246.806</v>
      </c>
      <c r="L2368" s="610">
        <f t="shared" si="21"/>
        <v>401.003</v>
      </c>
      <c r="M2368" s="610">
        <f t="shared" si="21"/>
        <v>33.727999999999994</v>
      </c>
      <c r="N2368" s="610">
        <f t="shared" si="21"/>
        <v>0.165</v>
      </c>
    </row>
    <row r="2369" spans="1:14" ht="10.5" customHeight="1">
      <c r="A2369" s="285"/>
      <c r="B2369" s="286"/>
      <c r="C2369" s="286"/>
      <c r="D2369" s="285"/>
      <c r="E2369" s="50">
        <f>E$1635+E$2037+E$2201+E$2326+E$2341</f>
        <v>259577.846</v>
      </c>
      <c r="F2369" s="51">
        <v>2</v>
      </c>
      <c r="G2369" s="608"/>
      <c r="H2369" s="608"/>
      <c r="I2369" s="611"/>
      <c r="J2369" s="611"/>
      <c r="K2369" s="611"/>
      <c r="L2369" s="611"/>
      <c r="M2369" s="611"/>
      <c r="N2369" s="611"/>
    </row>
    <row r="2370" spans="1:14" ht="10.5" customHeight="1">
      <c r="A2370" s="285"/>
      <c r="B2370" s="286"/>
      <c r="C2370" s="286"/>
      <c r="D2370" s="285"/>
      <c r="E2370" s="50">
        <f>E$1636+E$2038+E$2202+E$2341+E$2327</f>
        <v>67711.98000000001</v>
      </c>
      <c r="F2370" s="51" t="s">
        <v>258</v>
      </c>
      <c r="G2370" s="608"/>
      <c r="H2370" s="608"/>
      <c r="I2370" s="611"/>
      <c r="J2370" s="611"/>
      <c r="K2370" s="611"/>
      <c r="L2370" s="611"/>
      <c r="M2370" s="611"/>
      <c r="N2370" s="611"/>
    </row>
    <row r="2371" spans="1:14" ht="10.5" customHeight="1">
      <c r="A2371" s="285"/>
      <c r="B2371" s="286"/>
      <c r="C2371" s="286"/>
      <c r="D2371" s="285"/>
      <c r="E2371" s="50">
        <f>E$144+E$247+E$302+E$496+E$555+E$574+E$601+E$708+E$728+E$737+E$1637+E$2039+E$2203</f>
        <v>2174063.6999999997</v>
      </c>
      <c r="F2371" s="51">
        <v>3</v>
      </c>
      <c r="G2371" s="608"/>
      <c r="H2371" s="608"/>
      <c r="I2371" s="611"/>
      <c r="J2371" s="611"/>
      <c r="K2371" s="611"/>
      <c r="L2371" s="611"/>
      <c r="M2371" s="611"/>
      <c r="N2371" s="611"/>
    </row>
    <row r="2372" spans="1:14" ht="10.5" customHeight="1">
      <c r="A2372" s="285"/>
      <c r="B2372" s="286"/>
      <c r="C2372" s="286"/>
      <c r="D2372" s="285"/>
      <c r="E2372" s="50">
        <v>368143.6</v>
      </c>
      <c r="F2372" s="51">
        <v>4</v>
      </c>
      <c r="G2372" s="608"/>
      <c r="H2372" s="608"/>
      <c r="I2372" s="611"/>
      <c r="J2372" s="611"/>
      <c r="K2372" s="611"/>
      <c r="L2372" s="611"/>
      <c r="M2372" s="611"/>
      <c r="N2372" s="611"/>
    </row>
    <row r="2373" spans="1:14" ht="10.5" customHeight="1">
      <c r="A2373" s="285"/>
      <c r="B2373" s="286"/>
      <c r="C2373" s="286"/>
      <c r="D2373" s="285"/>
      <c r="E2373" s="50">
        <f>SUM(E2368,E2369,E2371,E2372)</f>
        <v>4247827.251999999</v>
      </c>
      <c r="F2373" s="51">
        <v>5</v>
      </c>
      <c r="G2373" s="609"/>
      <c r="H2373" s="609"/>
      <c r="I2373" s="579"/>
      <c r="J2373" s="579"/>
      <c r="K2373" s="579"/>
      <c r="L2373" s="579"/>
      <c r="M2373" s="579"/>
      <c r="N2373" s="579"/>
    </row>
    <row r="2374" spans="1:14" ht="10.5" customHeight="1">
      <c r="A2374" s="285"/>
      <c r="B2374" s="286"/>
      <c r="C2374" s="286"/>
      <c r="D2374" s="285">
        <v>2015</v>
      </c>
      <c r="E2374" s="50">
        <f>E$147+E$711+E$1640+E$2042+E$2330+E$2206</f>
        <v>1275141.906</v>
      </c>
      <c r="F2374" s="51">
        <v>1</v>
      </c>
      <c r="G2374" s="607">
        <v>1224.37</v>
      </c>
      <c r="H2374" s="607">
        <v>3473760.3</v>
      </c>
      <c r="I2374" s="610">
        <f aca="true" t="shared" si="22" ref="I2374:N2374">I147+I248+I303+I499+I556+I575+I711+I731+I738+I1640+I2042+I2206+I2330</f>
        <v>439.6954999999999</v>
      </c>
      <c r="J2374" s="610">
        <f t="shared" si="22"/>
        <v>0.279</v>
      </c>
      <c r="K2374" s="610">
        <f t="shared" si="22"/>
        <v>269.89399999999995</v>
      </c>
      <c r="L2374" s="610">
        <f t="shared" si="22"/>
        <v>411.62</v>
      </c>
      <c r="M2374" s="610">
        <f t="shared" si="22"/>
        <v>34.075</v>
      </c>
      <c r="N2374" s="610">
        <f t="shared" si="22"/>
        <v>357.44</v>
      </c>
    </row>
    <row r="2375" spans="1:14" ht="10.5" customHeight="1">
      <c r="A2375" s="285"/>
      <c r="B2375" s="286"/>
      <c r="C2375" s="286"/>
      <c r="D2375" s="285"/>
      <c r="E2375" s="50">
        <f>E$1641+E$2043+E$2207+E$2331+E$2342</f>
        <v>310051.2360000001</v>
      </c>
      <c r="F2375" s="51">
        <v>2</v>
      </c>
      <c r="G2375" s="608"/>
      <c r="H2375" s="608"/>
      <c r="I2375" s="611"/>
      <c r="J2375" s="611"/>
      <c r="K2375" s="611"/>
      <c r="L2375" s="611"/>
      <c r="M2375" s="611"/>
      <c r="N2375" s="611"/>
    </row>
    <row r="2376" spans="1:14" ht="10.5" customHeight="1">
      <c r="A2376" s="285"/>
      <c r="B2376" s="286"/>
      <c r="C2376" s="286"/>
      <c r="D2376" s="285"/>
      <c r="E2376" s="50">
        <f>E$1642+E$2044+E$2208+E$2341+E$2332</f>
        <v>90505.03</v>
      </c>
      <c r="F2376" s="51" t="s">
        <v>258</v>
      </c>
      <c r="G2376" s="608"/>
      <c r="H2376" s="608"/>
      <c r="I2376" s="611"/>
      <c r="J2376" s="611"/>
      <c r="K2376" s="611"/>
      <c r="L2376" s="611"/>
      <c r="M2376" s="611"/>
      <c r="N2376" s="611"/>
    </row>
    <row r="2377" spans="1:14" ht="10.5" customHeight="1">
      <c r="A2377" s="285"/>
      <c r="B2377" s="286"/>
      <c r="C2377" s="286"/>
      <c r="D2377" s="285"/>
      <c r="E2377" s="50">
        <v>2319825.65</v>
      </c>
      <c r="F2377" s="51">
        <v>3</v>
      </c>
      <c r="G2377" s="608"/>
      <c r="H2377" s="608"/>
      <c r="I2377" s="611"/>
      <c r="J2377" s="611"/>
      <c r="K2377" s="611"/>
      <c r="L2377" s="611"/>
      <c r="M2377" s="611"/>
      <c r="N2377" s="611"/>
    </row>
    <row r="2378" spans="1:14" ht="11.25" customHeight="1">
      <c r="A2378" s="285"/>
      <c r="B2378" s="286"/>
      <c r="C2378" s="286"/>
      <c r="D2378" s="285"/>
      <c r="E2378" s="50">
        <f>E$149+E$713+E$1644+E$2046+E$2210+E$2333</f>
        <v>414011.48000000004</v>
      </c>
      <c r="F2378" s="51">
        <v>4</v>
      </c>
      <c r="G2378" s="608"/>
      <c r="H2378" s="608"/>
      <c r="I2378" s="611"/>
      <c r="J2378" s="611"/>
      <c r="K2378" s="611"/>
      <c r="L2378" s="611"/>
      <c r="M2378" s="611"/>
      <c r="N2378" s="611"/>
    </row>
    <row r="2379" spans="1:14" ht="10.5" customHeight="1">
      <c r="A2379" s="285"/>
      <c r="B2379" s="286"/>
      <c r="C2379" s="286"/>
      <c r="D2379" s="285"/>
      <c r="E2379" s="50">
        <v>4319030.28</v>
      </c>
      <c r="F2379" s="51">
        <v>5</v>
      </c>
      <c r="G2379" s="609"/>
      <c r="H2379" s="609"/>
      <c r="I2379" s="579"/>
      <c r="J2379" s="579"/>
      <c r="K2379" s="579"/>
      <c r="L2379" s="579"/>
      <c r="M2379" s="579"/>
      <c r="N2379" s="579"/>
    </row>
    <row r="2380" spans="1:14" ht="10.5" customHeight="1">
      <c r="A2380" s="10"/>
      <c r="B2380" s="11"/>
      <c r="C2380" s="11"/>
      <c r="D2380" s="10"/>
      <c r="E2380" s="12"/>
      <c r="F2380" s="13"/>
      <c r="G2380" s="14"/>
      <c r="H2380" s="14"/>
      <c r="I2380" s="15"/>
      <c r="J2380" s="15"/>
      <c r="K2380" s="15"/>
      <c r="L2380" s="15"/>
      <c r="M2380" s="15"/>
      <c r="N2380" s="15"/>
    </row>
    <row r="2381" spans="1:14" ht="12.75" customHeight="1">
      <c r="A2381" s="3"/>
      <c r="B2381" s="656" t="s">
        <v>474</v>
      </c>
      <c r="C2381" s="657"/>
      <c r="D2381" s="657"/>
      <c r="E2381" s="657"/>
      <c r="F2381" s="657"/>
      <c r="G2381" s="657"/>
      <c r="H2381" s="657"/>
      <c r="I2381" s="657"/>
      <c r="J2381" s="657"/>
      <c r="K2381" s="657"/>
      <c r="L2381" s="657"/>
      <c r="M2381" s="657"/>
      <c r="N2381" s="657"/>
    </row>
    <row r="2382" spans="2:7" ht="12.75">
      <c r="B2382" s="1"/>
      <c r="C2382" s="1"/>
      <c r="D2382" s="1"/>
      <c r="E2382" s="1"/>
      <c r="F2382" s="1"/>
      <c r="G2382" s="1"/>
    </row>
    <row r="2383" spans="2:7" ht="12.75">
      <c r="B2383" s="1"/>
      <c r="C2383" s="1"/>
      <c r="D2383" s="1"/>
      <c r="E2383" s="1"/>
      <c r="F2383" s="1"/>
      <c r="G2383" s="1"/>
    </row>
  </sheetData>
  <sheetProtection/>
  <mergeCells count="4197">
    <mergeCell ref="K476:K478"/>
    <mergeCell ref="L476:L478"/>
    <mergeCell ref="M476:M478"/>
    <mergeCell ref="K479:K481"/>
    <mergeCell ref="L479:L481"/>
    <mergeCell ref="I809:I813"/>
    <mergeCell ref="D936:D941"/>
    <mergeCell ref="C1885:C1907"/>
    <mergeCell ref="M479:M481"/>
    <mergeCell ref="G479:G481"/>
    <mergeCell ref="H479:H481"/>
    <mergeCell ref="G809:G813"/>
    <mergeCell ref="G814:G818"/>
    <mergeCell ref="D960:D965"/>
    <mergeCell ref="C794:C813"/>
    <mergeCell ref="N479:N481"/>
    <mergeCell ref="I479:I481"/>
    <mergeCell ref="J479:J481"/>
    <mergeCell ref="N799:N803"/>
    <mergeCell ref="I764:I768"/>
    <mergeCell ref="J794:J798"/>
    <mergeCell ref="N794:N798"/>
    <mergeCell ref="N789:N793"/>
    <mergeCell ref="N784:N788"/>
    <mergeCell ref="J779:J783"/>
    <mergeCell ref="G2303:G2305"/>
    <mergeCell ref="A2188:A2211"/>
    <mergeCell ref="B2135:B2140"/>
    <mergeCell ref="A2154:A2171"/>
    <mergeCell ref="G2286:G2289"/>
    <mergeCell ref="A2239:A2241"/>
    <mergeCell ref="A2250:A2261"/>
    <mergeCell ref="B2250:B2261"/>
    <mergeCell ref="A2246:A2249"/>
    <mergeCell ref="A2242:A2245"/>
    <mergeCell ref="H2290:H2293"/>
    <mergeCell ref="H2298:H2301"/>
    <mergeCell ref="G2290:G2293"/>
    <mergeCell ref="H2294:H2297"/>
    <mergeCell ref="G2294:G2297"/>
    <mergeCell ref="G2298:G2301"/>
    <mergeCell ref="H2286:H2289"/>
    <mergeCell ref="N476:N478"/>
    <mergeCell ref="A2306:A2319"/>
    <mergeCell ref="B2320:B2334"/>
    <mergeCell ref="A2320:A2334"/>
    <mergeCell ref="D2095:D2096"/>
    <mergeCell ref="D2303:D2305"/>
    <mergeCell ref="A2172:A2175"/>
    <mergeCell ref="J804:J808"/>
    <mergeCell ref="G819:G823"/>
    <mergeCell ref="L470:L472"/>
    <mergeCell ref="M470:M472"/>
    <mergeCell ref="N470:N472"/>
    <mergeCell ref="K473:K475"/>
    <mergeCell ref="L473:L475"/>
    <mergeCell ref="M473:M475"/>
    <mergeCell ref="N473:N475"/>
    <mergeCell ref="J473:J475"/>
    <mergeCell ref="K470:K472"/>
    <mergeCell ref="D473:D475"/>
    <mergeCell ref="G470:G472"/>
    <mergeCell ref="H470:H472"/>
    <mergeCell ref="J470:J472"/>
    <mergeCell ref="I473:I475"/>
    <mergeCell ref="I476:I478"/>
    <mergeCell ref="G473:G475"/>
    <mergeCell ref="H473:H475"/>
    <mergeCell ref="D470:D472"/>
    <mergeCell ref="I470:I472"/>
    <mergeCell ref="C1586:C1609"/>
    <mergeCell ref="C1341:C1344"/>
    <mergeCell ref="G476:G478"/>
    <mergeCell ref="H476:H478"/>
    <mergeCell ref="D804:D808"/>
    <mergeCell ref="D476:D478"/>
    <mergeCell ref="D479:D481"/>
    <mergeCell ref="G764:G768"/>
    <mergeCell ref="H764:H768"/>
    <mergeCell ref="A2335:A2342"/>
    <mergeCell ref="B2335:B2342"/>
    <mergeCell ref="B2286:B2301"/>
    <mergeCell ref="A2286:A2301"/>
    <mergeCell ref="B2306:B2319"/>
    <mergeCell ref="C2335:C2342"/>
    <mergeCell ref="C2262:C2270"/>
    <mergeCell ref="C2271:C2273"/>
    <mergeCell ref="C2320:C2334"/>
    <mergeCell ref="C2303:C2305"/>
    <mergeCell ref="C2306:C2319"/>
    <mergeCell ref="A341:A348"/>
    <mergeCell ref="B2303:B2305"/>
    <mergeCell ref="B341:B348"/>
    <mergeCell ref="B2262:B2270"/>
    <mergeCell ref="A2262:A2270"/>
    <mergeCell ref="A2303:A2305"/>
    <mergeCell ref="A470:A482"/>
    <mergeCell ref="B470:B482"/>
    <mergeCell ref="B392:B401"/>
    <mergeCell ref="B360:B364"/>
    <mergeCell ref="A402:A407"/>
    <mergeCell ref="A2271:A2273"/>
    <mergeCell ref="A2274:A2285"/>
    <mergeCell ref="B536:B538"/>
    <mergeCell ref="B1784:B1801"/>
    <mergeCell ref="A732:N732"/>
    <mergeCell ref="I868:I872"/>
    <mergeCell ref="G804:G808"/>
    <mergeCell ref="K819:K823"/>
    <mergeCell ref="J476:J478"/>
    <mergeCell ref="A286:A291"/>
    <mergeCell ref="B286:B291"/>
    <mergeCell ref="B349:B352"/>
    <mergeCell ref="C349:C352"/>
    <mergeCell ref="B326:B332"/>
    <mergeCell ref="C326:C332"/>
    <mergeCell ref="C341:C348"/>
    <mergeCell ref="A316:A321"/>
    <mergeCell ref="C306:C309"/>
    <mergeCell ref="A310:A315"/>
    <mergeCell ref="I2290:I2293"/>
    <mergeCell ref="N2286:N2289"/>
    <mergeCell ref="N2290:N2293"/>
    <mergeCell ref="N2294:N2297"/>
    <mergeCell ref="L2286:L2289"/>
    <mergeCell ref="I2286:I2289"/>
    <mergeCell ref="J2286:J2289"/>
    <mergeCell ref="K2294:K2297"/>
    <mergeCell ref="J2290:J2293"/>
    <mergeCell ref="N2298:N2301"/>
    <mergeCell ref="M2290:M2293"/>
    <mergeCell ref="L2290:L2293"/>
    <mergeCell ref="M2286:M2289"/>
    <mergeCell ref="N2303:N2305"/>
    <mergeCell ref="I2294:I2297"/>
    <mergeCell ref="I2298:I2301"/>
    <mergeCell ref="J2298:J2301"/>
    <mergeCell ref="M2294:M2297"/>
    <mergeCell ref="M2298:M2301"/>
    <mergeCell ref="J2294:J2297"/>
    <mergeCell ref="K2303:K2305"/>
    <mergeCell ref="L2303:L2305"/>
    <mergeCell ref="M2303:M2305"/>
    <mergeCell ref="N2283:N2285"/>
    <mergeCell ref="G2283:G2285"/>
    <mergeCell ref="H2283:H2285"/>
    <mergeCell ref="I2283:I2285"/>
    <mergeCell ref="J2283:J2285"/>
    <mergeCell ref="K2283:K2285"/>
    <mergeCell ref="M2283:M2285"/>
    <mergeCell ref="N2280:N2282"/>
    <mergeCell ref="J2280:J2282"/>
    <mergeCell ref="B1930:B1934"/>
    <mergeCell ref="C679:C690"/>
    <mergeCell ref="H804:H808"/>
    <mergeCell ref="I804:I808"/>
    <mergeCell ref="I831:I836"/>
    <mergeCell ref="K1939:K1941"/>
    <mergeCell ref="L1939:L1941"/>
    <mergeCell ref="H1935:H1938"/>
    <mergeCell ref="K341:K343"/>
    <mergeCell ref="L341:L343"/>
    <mergeCell ref="C182:C184"/>
    <mergeCell ref="K333:K335"/>
    <mergeCell ref="H326:H328"/>
    <mergeCell ref="I326:I328"/>
    <mergeCell ref="J326:J328"/>
    <mergeCell ref="K326:K328"/>
    <mergeCell ref="H333:H335"/>
    <mergeCell ref="H341:H343"/>
    <mergeCell ref="C170:C173"/>
    <mergeCell ref="C174:C177"/>
    <mergeCell ref="B179:B181"/>
    <mergeCell ref="C179:C181"/>
    <mergeCell ref="J341:J343"/>
    <mergeCell ref="C286:C291"/>
    <mergeCell ref="I341:I343"/>
    <mergeCell ref="M341:M343"/>
    <mergeCell ref="I333:I335"/>
    <mergeCell ref="J333:J335"/>
    <mergeCell ref="G326:G328"/>
    <mergeCell ref="D326:D328"/>
    <mergeCell ref="D333:D335"/>
    <mergeCell ref="D341:D343"/>
    <mergeCell ref="N341:N343"/>
    <mergeCell ref="L326:L328"/>
    <mergeCell ref="M326:M328"/>
    <mergeCell ref="N326:N328"/>
    <mergeCell ref="N333:N335"/>
    <mergeCell ref="L333:L335"/>
    <mergeCell ref="M333:M335"/>
    <mergeCell ref="G341:G343"/>
    <mergeCell ref="C470:C482"/>
    <mergeCell ref="A679:A690"/>
    <mergeCell ref="B679:B690"/>
    <mergeCell ref="A570:A574"/>
    <mergeCell ref="A542:A544"/>
    <mergeCell ref="B542:B544"/>
    <mergeCell ref="G670:G672"/>
    <mergeCell ref="B550:B556"/>
    <mergeCell ref="B353:B355"/>
    <mergeCell ref="C814:C823"/>
    <mergeCell ref="N809:N813"/>
    <mergeCell ref="N804:N808"/>
    <mergeCell ref="K804:K808"/>
    <mergeCell ref="J809:J813"/>
    <mergeCell ref="H814:H818"/>
    <mergeCell ref="I814:I818"/>
    <mergeCell ref="J814:J818"/>
    <mergeCell ref="I819:I823"/>
    <mergeCell ref="J819:J823"/>
    <mergeCell ref="A1802:A1831"/>
    <mergeCell ref="B1885:B1890"/>
    <mergeCell ref="C1872:C1884"/>
    <mergeCell ref="A1872:A1884"/>
    <mergeCell ref="B1820:B1831"/>
    <mergeCell ref="B1802:B1819"/>
    <mergeCell ref="C1802:C1819"/>
    <mergeCell ref="N1935:N1938"/>
    <mergeCell ref="I1935:I1938"/>
    <mergeCell ref="J1935:J1938"/>
    <mergeCell ref="K1935:K1938"/>
    <mergeCell ref="N1939:N1941"/>
    <mergeCell ref="D1942:D1945"/>
    <mergeCell ref="G1942:G1945"/>
    <mergeCell ref="H1942:H1945"/>
    <mergeCell ref="I1942:I1945"/>
    <mergeCell ref="J1942:J1945"/>
    <mergeCell ref="K1942:K1945"/>
    <mergeCell ref="L1942:L1945"/>
    <mergeCell ref="M1942:M1945"/>
    <mergeCell ref="M1939:M1941"/>
    <mergeCell ref="B2381:N2381"/>
    <mergeCell ref="K2335:K2337"/>
    <mergeCell ref="L2335:L2337"/>
    <mergeCell ref="M2335:M2337"/>
    <mergeCell ref="N2335:N2337"/>
    <mergeCell ref="G2335:G2337"/>
    <mergeCell ref="H2335:H2337"/>
    <mergeCell ref="I2335:I2337"/>
    <mergeCell ref="J2368:J2373"/>
    <mergeCell ref="I2368:I2373"/>
    <mergeCell ref="J2335:J2337"/>
    <mergeCell ref="N2356:N2361"/>
    <mergeCell ref="D2330:D2334"/>
    <mergeCell ref="D2306:D2310"/>
    <mergeCell ref="D2311:D2315"/>
    <mergeCell ref="D2320:D2324"/>
    <mergeCell ref="D2325:D2329"/>
    <mergeCell ref="D2316:D2319"/>
    <mergeCell ref="L2320:L2324"/>
    <mergeCell ref="M2320:M2324"/>
    <mergeCell ref="A2055:A2058"/>
    <mergeCell ref="C2095:C2101"/>
    <mergeCell ref="A2065:A2074"/>
    <mergeCell ref="B2055:B2058"/>
    <mergeCell ref="C2075:C2094"/>
    <mergeCell ref="B2075:B2094"/>
    <mergeCell ref="B2102:B2106"/>
    <mergeCell ref="A2131:A2134"/>
    <mergeCell ref="B2172:B2175"/>
    <mergeCell ref="D1949:D1951"/>
    <mergeCell ref="C1935:C1951"/>
    <mergeCell ref="A2012:A2047"/>
    <mergeCell ref="C2107:C2110"/>
    <mergeCell ref="A2075:A2101"/>
    <mergeCell ref="A2059:A2064"/>
    <mergeCell ref="A2049:A2054"/>
    <mergeCell ref="L1992:L1995"/>
    <mergeCell ref="N2008:N2011"/>
    <mergeCell ref="L1982:L1987"/>
    <mergeCell ref="M2000:M2003"/>
    <mergeCell ref="M1992:M1995"/>
    <mergeCell ref="M1996:M1999"/>
    <mergeCell ref="N1996:N1999"/>
    <mergeCell ref="N2000:N2003"/>
    <mergeCell ref="M2004:M2007"/>
    <mergeCell ref="A1988:A2011"/>
    <mergeCell ref="N2030:N2035"/>
    <mergeCell ref="N2036:N2041"/>
    <mergeCell ref="D2004:D2007"/>
    <mergeCell ref="C1988:C2011"/>
    <mergeCell ref="L1988:L1991"/>
    <mergeCell ref="K1992:K1995"/>
    <mergeCell ref="N1992:N1995"/>
    <mergeCell ref="H2024:H2029"/>
    <mergeCell ref="K1988:K1991"/>
    <mergeCell ref="L2042:L2047"/>
    <mergeCell ref="L2036:L2041"/>
    <mergeCell ref="J2030:J2035"/>
    <mergeCell ref="N1964:N1969"/>
    <mergeCell ref="N1976:N1981"/>
    <mergeCell ref="N2004:N2007"/>
    <mergeCell ref="M1988:M1991"/>
    <mergeCell ref="N1988:N1991"/>
    <mergeCell ref="N1970:N1975"/>
    <mergeCell ref="N1982:N1987"/>
    <mergeCell ref="D2036:D2041"/>
    <mergeCell ref="D2030:D2035"/>
    <mergeCell ref="K1949:K1951"/>
    <mergeCell ref="K1976:K1981"/>
    <mergeCell ref="K1958:K1963"/>
    <mergeCell ref="K1970:K1975"/>
    <mergeCell ref="I2008:I2011"/>
    <mergeCell ref="H2000:H2003"/>
    <mergeCell ref="I2004:I2007"/>
    <mergeCell ref="G2012:G2017"/>
    <mergeCell ref="N2012:N2017"/>
    <mergeCell ref="N2018:N2023"/>
    <mergeCell ref="N2024:N2029"/>
    <mergeCell ref="L2092:L2094"/>
    <mergeCell ref="M2042:M2047"/>
    <mergeCell ref="N2042:N2047"/>
    <mergeCell ref="N2085:N2088"/>
    <mergeCell ref="N2082:N2084"/>
    <mergeCell ref="M2012:M2017"/>
    <mergeCell ref="M2030:M2035"/>
    <mergeCell ref="D2089:D2091"/>
    <mergeCell ref="G2089:G2091"/>
    <mergeCell ref="D2092:D2094"/>
    <mergeCell ref="I2092:I2094"/>
    <mergeCell ref="H2089:H2091"/>
    <mergeCell ref="I2089:I2091"/>
    <mergeCell ref="G2092:G2094"/>
    <mergeCell ref="H2092:H2094"/>
    <mergeCell ref="A1930:A1934"/>
    <mergeCell ref="A1935:A1937"/>
    <mergeCell ref="B1918:B1929"/>
    <mergeCell ref="A1908:A1929"/>
    <mergeCell ref="C1820:C1831"/>
    <mergeCell ref="C1908:C1929"/>
    <mergeCell ref="C1930:C1934"/>
    <mergeCell ref="I1877:I1880"/>
    <mergeCell ref="G784:G788"/>
    <mergeCell ref="H794:H798"/>
    <mergeCell ref="I794:I798"/>
    <mergeCell ref="G794:G798"/>
    <mergeCell ref="H784:H788"/>
    <mergeCell ref="I784:I788"/>
    <mergeCell ref="C825:C830"/>
    <mergeCell ref="D886:D890"/>
    <mergeCell ref="D917:D922"/>
    <mergeCell ref="D901:D905"/>
    <mergeCell ref="D825:D830"/>
    <mergeCell ref="D844:D849"/>
    <mergeCell ref="D831:D836"/>
    <mergeCell ref="D837:D843"/>
    <mergeCell ref="D868:D872"/>
    <mergeCell ref="D873:D877"/>
    <mergeCell ref="D794:D798"/>
    <mergeCell ref="C1091:C1093"/>
    <mergeCell ref="C1318:C1332"/>
    <mergeCell ref="C1166:C1180"/>
    <mergeCell ref="C978:C1007"/>
    <mergeCell ref="C1061:C1090"/>
    <mergeCell ref="C1222:C1227"/>
    <mergeCell ref="D1148:D1153"/>
    <mergeCell ref="D1079:D1084"/>
    <mergeCell ref="D1124:D1129"/>
    <mergeCell ref="A1341:A1344"/>
    <mergeCell ref="B1341:B1344"/>
    <mergeCell ref="B1130:B1135"/>
    <mergeCell ref="C1094:C1111"/>
    <mergeCell ref="C1130:C1165"/>
    <mergeCell ref="A1294:N1294"/>
    <mergeCell ref="D1166:D1170"/>
    <mergeCell ref="D1171:D1175"/>
    <mergeCell ref="D1176:D1180"/>
    <mergeCell ref="K1118:K1123"/>
    <mergeCell ref="D1106:D1111"/>
    <mergeCell ref="B1222:B1227"/>
    <mergeCell ref="B881:B885"/>
    <mergeCell ref="A550:A556"/>
    <mergeCell ref="B764:B793"/>
    <mergeCell ref="B1055:B1060"/>
    <mergeCell ref="D1094:D1099"/>
    <mergeCell ref="B1181:B1186"/>
    <mergeCell ref="D1085:D1090"/>
    <mergeCell ref="D1100:D1105"/>
    <mergeCell ref="B1345:B1347"/>
    <mergeCell ref="D1282:D1287"/>
    <mergeCell ref="D1307:D1310"/>
    <mergeCell ref="D1295:D1299"/>
    <mergeCell ref="D1341:D1344"/>
    <mergeCell ref="D1325:D1328"/>
    <mergeCell ref="D1329:D1332"/>
    <mergeCell ref="D1333:D1336"/>
    <mergeCell ref="C1345:C1347"/>
    <mergeCell ref="D1345:D1347"/>
    <mergeCell ref="D799:D803"/>
    <mergeCell ref="D924:D929"/>
    <mergeCell ref="D881:D885"/>
    <mergeCell ref="D819:D823"/>
    <mergeCell ref="D809:D813"/>
    <mergeCell ref="D814:D818"/>
    <mergeCell ref="D850:D855"/>
    <mergeCell ref="D856:D861"/>
    <mergeCell ref="D784:D788"/>
    <mergeCell ref="D764:D768"/>
    <mergeCell ref="C764:C793"/>
    <mergeCell ref="D891:D895"/>
    <mergeCell ref="A824:N824"/>
    <mergeCell ref="B825:B830"/>
    <mergeCell ref="H819:H823"/>
    <mergeCell ref="L819:L823"/>
    <mergeCell ref="K809:K813"/>
    <mergeCell ref="H809:H813"/>
    <mergeCell ref="G2271:G2273"/>
    <mergeCell ref="G2042:G2047"/>
    <mergeCell ref="H2042:H2047"/>
    <mergeCell ref="G1687:G1690"/>
    <mergeCell ref="G1695:G1698"/>
    <mergeCell ref="H1939:H1941"/>
    <mergeCell ref="H1946:H1948"/>
    <mergeCell ref="A2048:N2048"/>
    <mergeCell ref="N2075:N2078"/>
    <mergeCell ref="N2079:N2081"/>
    <mergeCell ref="G1653:G1658"/>
    <mergeCell ref="G1679:G1682"/>
    <mergeCell ref="G1659:G1663"/>
    <mergeCell ref="I1733:I1735"/>
    <mergeCell ref="I1728:I1732"/>
    <mergeCell ref="I1718:I1722"/>
    <mergeCell ref="I1723:I1727"/>
    <mergeCell ref="J1674:J1678"/>
    <mergeCell ref="I1767:I1771"/>
    <mergeCell ref="G1669:G1673"/>
    <mergeCell ref="G1664:G1668"/>
    <mergeCell ref="J1695:J1698"/>
    <mergeCell ref="J1708:J1712"/>
    <mergeCell ref="J1679:J1682"/>
    <mergeCell ref="J1683:J1686"/>
    <mergeCell ref="A1351:A1374"/>
    <mergeCell ref="A1703:A1748"/>
    <mergeCell ref="C1832:C1854"/>
    <mergeCell ref="B1832:B1854"/>
    <mergeCell ref="A1832:A1854"/>
    <mergeCell ref="A1646:N1646"/>
    <mergeCell ref="H1695:H1698"/>
    <mergeCell ref="H1687:H1690"/>
    <mergeCell ref="A1442:A1451"/>
    <mergeCell ref="J1659:J1663"/>
    <mergeCell ref="K2271:K2273"/>
    <mergeCell ref="K2262:K2264"/>
    <mergeCell ref="N2259:N2261"/>
    <mergeCell ref="N2246:N2249"/>
    <mergeCell ref="M2256:M2258"/>
    <mergeCell ref="N2250:N2252"/>
    <mergeCell ref="M1976:M1981"/>
    <mergeCell ref="K1811:K1813"/>
    <mergeCell ref="N2262:N2264"/>
    <mergeCell ref="J2242:J2245"/>
    <mergeCell ref="M2242:M2245"/>
    <mergeCell ref="N2242:N2245"/>
    <mergeCell ref="N1949:N1951"/>
    <mergeCell ref="N1946:N1948"/>
    <mergeCell ref="N1826:N1828"/>
    <mergeCell ref="N1823:N1825"/>
    <mergeCell ref="J1699:J1702"/>
    <mergeCell ref="J1755:J1760"/>
    <mergeCell ref="J1805:J1807"/>
    <mergeCell ref="M1982:M1987"/>
    <mergeCell ref="L1949:L1951"/>
    <mergeCell ref="L1823:L1825"/>
    <mergeCell ref="L1976:L1981"/>
    <mergeCell ref="M1946:M1948"/>
    <mergeCell ref="L1935:L1938"/>
    <mergeCell ref="M1935:M1938"/>
    <mergeCell ref="K1749:K1754"/>
    <mergeCell ref="J1772:J1777"/>
    <mergeCell ref="J1778:J1783"/>
    <mergeCell ref="J1790:J1792"/>
    <mergeCell ref="L1761:L1766"/>
    <mergeCell ref="K1761:K1766"/>
    <mergeCell ref="K1796:K1798"/>
    <mergeCell ref="J1793:J1795"/>
    <mergeCell ref="M1823:M1825"/>
    <mergeCell ref="N1820:N1822"/>
    <mergeCell ref="N1817:N1819"/>
    <mergeCell ref="K1802:K1804"/>
    <mergeCell ref="M1820:M1822"/>
    <mergeCell ref="N1811:N1813"/>
    <mergeCell ref="M1970:M1975"/>
    <mergeCell ref="M1949:M1951"/>
    <mergeCell ref="M1964:M1969"/>
    <mergeCell ref="N1942:N1945"/>
    <mergeCell ref="M1958:M1963"/>
    <mergeCell ref="N1958:N1963"/>
    <mergeCell ref="N1728:N1732"/>
    <mergeCell ref="N1699:N1702"/>
    <mergeCell ref="N1683:N1686"/>
    <mergeCell ref="N1713:N1717"/>
    <mergeCell ref="N1703:N1707"/>
    <mergeCell ref="N1708:N1712"/>
    <mergeCell ref="N1687:N1690"/>
    <mergeCell ref="N1695:N1698"/>
    <mergeCell ref="N1691:N1694"/>
    <mergeCell ref="N814:N818"/>
    <mergeCell ref="N1307:N1310"/>
    <mergeCell ref="K1767:K1771"/>
    <mergeCell ref="K1713:K1717"/>
    <mergeCell ref="K1210:K1215"/>
    <mergeCell ref="L1210:L1215"/>
    <mergeCell ref="K814:K818"/>
    <mergeCell ref="K1252:K1257"/>
    <mergeCell ref="K1216:K1221"/>
    <mergeCell ref="N1679:N1682"/>
    <mergeCell ref="N1814:N1816"/>
    <mergeCell ref="N819:N823"/>
    <mergeCell ref="M819:M823"/>
    <mergeCell ref="M1300:M1303"/>
    <mergeCell ref="M1204:M1209"/>
    <mergeCell ref="N1171:N1175"/>
    <mergeCell ref="M1683:M1686"/>
    <mergeCell ref="M1687:M1690"/>
    <mergeCell ref="N1761:N1766"/>
    <mergeCell ref="M1699:M1702"/>
    <mergeCell ref="M804:M808"/>
    <mergeCell ref="M814:M818"/>
    <mergeCell ref="M1176:M1180"/>
    <mergeCell ref="K1171:K1175"/>
    <mergeCell ref="K1166:K1170"/>
    <mergeCell ref="M1112:M1117"/>
    <mergeCell ref="K1124:K1129"/>
    <mergeCell ref="N1222:N1227"/>
    <mergeCell ref="M1234:M1239"/>
    <mergeCell ref="N1234:N1239"/>
    <mergeCell ref="K1204:K1209"/>
    <mergeCell ref="L1204:L1209"/>
    <mergeCell ref="N1204:N1209"/>
    <mergeCell ref="M1210:M1215"/>
    <mergeCell ref="N1210:N1215"/>
    <mergeCell ref="M1216:M1221"/>
    <mergeCell ref="N1176:N1180"/>
    <mergeCell ref="N1154:N1159"/>
    <mergeCell ref="N1166:N1170"/>
    <mergeCell ref="L809:L813"/>
    <mergeCell ref="M1171:M1175"/>
    <mergeCell ref="L1171:L1175"/>
    <mergeCell ref="M1166:M1170"/>
    <mergeCell ref="N1160:N1165"/>
    <mergeCell ref="L1136:L1141"/>
    <mergeCell ref="M1136:M1141"/>
    <mergeCell ref="M1307:M1310"/>
    <mergeCell ref="N1282:N1287"/>
    <mergeCell ref="M809:M813"/>
    <mergeCell ref="L814:L818"/>
    <mergeCell ref="L1166:L1170"/>
    <mergeCell ref="L1307:L1310"/>
    <mergeCell ref="N1216:N1221"/>
    <mergeCell ref="L1216:L1221"/>
    <mergeCell ref="N1300:N1303"/>
    <mergeCell ref="N1304:N1306"/>
    <mergeCell ref="J799:J803"/>
    <mergeCell ref="L804:L808"/>
    <mergeCell ref="K799:K803"/>
    <mergeCell ref="L799:L803"/>
    <mergeCell ref="D789:D793"/>
    <mergeCell ref="G789:G793"/>
    <mergeCell ref="H789:H793"/>
    <mergeCell ref="L789:L793"/>
    <mergeCell ref="I789:I793"/>
    <mergeCell ref="J789:J793"/>
    <mergeCell ref="K789:K793"/>
    <mergeCell ref="G799:G803"/>
    <mergeCell ref="J784:J788"/>
    <mergeCell ref="K784:K788"/>
    <mergeCell ref="M794:M798"/>
    <mergeCell ref="M789:M793"/>
    <mergeCell ref="K794:K798"/>
    <mergeCell ref="L794:L798"/>
    <mergeCell ref="L784:L788"/>
    <mergeCell ref="H799:H803"/>
    <mergeCell ref="I799:I803"/>
    <mergeCell ref="K779:K783"/>
    <mergeCell ref="L779:L783"/>
    <mergeCell ref="M779:M783"/>
    <mergeCell ref="M784:M788"/>
    <mergeCell ref="N774:N778"/>
    <mergeCell ref="D779:D783"/>
    <mergeCell ref="G779:G783"/>
    <mergeCell ref="H779:H783"/>
    <mergeCell ref="I779:I783"/>
    <mergeCell ref="N779:N783"/>
    <mergeCell ref="J774:J778"/>
    <mergeCell ref="K774:K778"/>
    <mergeCell ref="L774:L778"/>
    <mergeCell ref="M774:M778"/>
    <mergeCell ref="D774:D778"/>
    <mergeCell ref="G774:G778"/>
    <mergeCell ref="H774:H778"/>
    <mergeCell ref="I774:I778"/>
    <mergeCell ref="D769:D773"/>
    <mergeCell ref="G769:G773"/>
    <mergeCell ref="N769:N773"/>
    <mergeCell ref="K764:K768"/>
    <mergeCell ref="N764:N768"/>
    <mergeCell ref="M764:M768"/>
    <mergeCell ref="L764:L768"/>
    <mergeCell ref="H769:H773"/>
    <mergeCell ref="I769:I773"/>
    <mergeCell ref="K769:K773"/>
    <mergeCell ref="J769:J773"/>
    <mergeCell ref="L761:L763"/>
    <mergeCell ref="K758:K760"/>
    <mergeCell ref="J764:J768"/>
    <mergeCell ref="L758:L760"/>
    <mergeCell ref="M758:M760"/>
    <mergeCell ref="M752:M754"/>
    <mergeCell ref="J758:J760"/>
    <mergeCell ref="N761:N763"/>
    <mergeCell ref="J761:J763"/>
    <mergeCell ref="K761:K763"/>
    <mergeCell ref="N752:N754"/>
    <mergeCell ref="L755:L757"/>
    <mergeCell ref="M755:M757"/>
    <mergeCell ref="N755:N757"/>
    <mergeCell ref="N749:N751"/>
    <mergeCell ref="H749:H751"/>
    <mergeCell ref="H755:H757"/>
    <mergeCell ref="I755:I757"/>
    <mergeCell ref="J755:J757"/>
    <mergeCell ref="K752:K754"/>
    <mergeCell ref="K749:K751"/>
    <mergeCell ref="L749:L751"/>
    <mergeCell ref="L752:L754"/>
    <mergeCell ref="M749:M751"/>
    <mergeCell ref="K746:K748"/>
    <mergeCell ref="D746:D748"/>
    <mergeCell ref="D749:D751"/>
    <mergeCell ref="D758:D760"/>
    <mergeCell ref="D752:D754"/>
    <mergeCell ref="D755:D757"/>
    <mergeCell ref="J746:J748"/>
    <mergeCell ref="H752:H754"/>
    <mergeCell ref="I752:I754"/>
    <mergeCell ref="G746:G748"/>
    <mergeCell ref="H746:H748"/>
    <mergeCell ref="I746:I748"/>
    <mergeCell ref="I749:I751"/>
    <mergeCell ref="G755:G757"/>
    <mergeCell ref="K755:K757"/>
    <mergeCell ref="G752:G754"/>
    <mergeCell ref="J749:J751"/>
    <mergeCell ref="J752:J754"/>
    <mergeCell ref="D761:D763"/>
    <mergeCell ref="G761:G763"/>
    <mergeCell ref="H761:H763"/>
    <mergeCell ref="I761:I763"/>
    <mergeCell ref="G1210:G1215"/>
    <mergeCell ref="C741:C745"/>
    <mergeCell ref="A746:A748"/>
    <mergeCell ref="B746:B748"/>
    <mergeCell ref="C746:C748"/>
    <mergeCell ref="B741:B745"/>
    <mergeCell ref="A741:A745"/>
    <mergeCell ref="C749:C760"/>
    <mergeCell ref="C761:C763"/>
    <mergeCell ref="B749:B760"/>
    <mergeCell ref="G1304:G1306"/>
    <mergeCell ref="G1300:G1303"/>
    <mergeCell ref="G1216:G1221"/>
    <mergeCell ref="D1181:D1186"/>
    <mergeCell ref="D1187:D1192"/>
    <mergeCell ref="D1204:D1209"/>
    <mergeCell ref="G1204:G1209"/>
    <mergeCell ref="D1210:D1215"/>
    <mergeCell ref="G1187:G1192"/>
    <mergeCell ref="D1216:D1221"/>
    <mergeCell ref="L1817:L1819"/>
    <mergeCell ref="L1814:L1816"/>
    <mergeCell ref="D1300:D1303"/>
    <mergeCell ref="K1304:K1306"/>
    <mergeCell ref="L1304:L1306"/>
    <mergeCell ref="I1300:I1303"/>
    <mergeCell ref="D1304:D1306"/>
    <mergeCell ref="L1300:L1303"/>
    <mergeCell ref="I1304:I1306"/>
    <mergeCell ref="K1300:K1303"/>
    <mergeCell ref="L1924:L1926"/>
    <mergeCell ref="M1908:M1912"/>
    <mergeCell ref="M1885:M1890"/>
    <mergeCell ref="M1896:M1901"/>
    <mergeCell ref="M1902:M1907"/>
    <mergeCell ref="J1300:J1303"/>
    <mergeCell ref="K1295:K1299"/>
    <mergeCell ref="L1295:L1299"/>
    <mergeCell ref="L1811:L1813"/>
    <mergeCell ref="K1307:K1310"/>
    <mergeCell ref="L1683:L1686"/>
    <mergeCell ref="J1749:J1754"/>
    <mergeCell ref="K1745:K1747"/>
    <mergeCell ref="J1767:J1771"/>
    <mergeCell ref="J1761:J1766"/>
    <mergeCell ref="L1820:L1822"/>
    <mergeCell ref="K1852:K1854"/>
    <mergeCell ref="L1852:L1854"/>
    <mergeCell ref="I1295:I1299"/>
    <mergeCell ref="K1708:K1712"/>
    <mergeCell ref="L1708:L1712"/>
    <mergeCell ref="L1695:L1698"/>
    <mergeCell ref="K1691:K1694"/>
    <mergeCell ref="I1664:I1668"/>
    <mergeCell ref="K1669:K1673"/>
    <mergeCell ref="L1837:L1840"/>
    <mergeCell ref="L1841:L1843"/>
    <mergeCell ref="L1908:L1912"/>
    <mergeCell ref="L1885:L1890"/>
    <mergeCell ref="L1848:L1851"/>
    <mergeCell ref="K1918:K1920"/>
    <mergeCell ref="K1885:K1890"/>
    <mergeCell ref="K1873:K1876"/>
    <mergeCell ref="K1863:K1866"/>
    <mergeCell ref="K1908:K1912"/>
    <mergeCell ref="L1855:L1858"/>
    <mergeCell ref="K1823:K1825"/>
    <mergeCell ref="K1814:K1816"/>
    <mergeCell ref="K1817:K1819"/>
    <mergeCell ref="K1837:K1840"/>
    <mergeCell ref="K1820:K1822"/>
    <mergeCell ref="K1848:K1851"/>
    <mergeCell ref="L1844:L1847"/>
    <mergeCell ref="K1841:K1843"/>
    <mergeCell ref="K1844:K1847"/>
    <mergeCell ref="J1832:J1836"/>
    <mergeCell ref="K1832:K1836"/>
    <mergeCell ref="K1826:K1828"/>
    <mergeCell ref="G2316:G2319"/>
    <mergeCell ref="H2316:H2319"/>
    <mergeCell ref="I2316:I2319"/>
    <mergeCell ref="I2306:I2310"/>
    <mergeCell ref="K2306:K2310"/>
    <mergeCell ref="J2306:J2310"/>
    <mergeCell ref="I2268:I2270"/>
    <mergeCell ref="I2320:I2324"/>
    <mergeCell ref="G2330:G2334"/>
    <mergeCell ref="H2330:H2334"/>
    <mergeCell ref="I2330:I2334"/>
    <mergeCell ref="G2320:G2324"/>
    <mergeCell ref="G2325:G2329"/>
    <mergeCell ref="H2325:H2329"/>
    <mergeCell ref="I2325:I2329"/>
    <mergeCell ref="H2320:H2324"/>
    <mergeCell ref="N2320:N2324"/>
    <mergeCell ref="M2316:M2319"/>
    <mergeCell ref="J2316:J2319"/>
    <mergeCell ref="L2316:L2319"/>
    <mergeCell ref="K2316:K2319"/>
    <mergeCell ref="N2316:N2319"/>
    <mergeCell ref="N2330:N2334"/>
    <mergeCell ref="L2330:L2334"/>
    <mergeCell ref="M2330:M2334"/>
    <mergeCell ref="L2325:L2329"/>
    <mergeCell ref="M2325:M2329"/>
    <mergeCell ref="N2325:N2329"/>
    <mergeCell ref="G2306:G2310"/>
    <mergeCell ref="L2311:L2315"/>
    <mergeCell ref="G2311:G2315"/>
    <mergeCell ref="H2311:H2315"/>
    <mergeCell ref="I2311:I2315"/>
    <mergeCell ref="J2311:J2315"/>
    <mergeCell ref="K2311:K2315"/>
    <mergeCell ref="H2306:H2310"/>
    <mergeCell ref="N2311:N2315"/>
    <mergeCell ref="M2311:M2315"/>
    <mergeCell ref="L2271:L2273"/>
    <mergeCell ref="H2262:H2264"/>
    <mergeCell ref="H2303:H2305"/>
    <mergeCell ref="I2303:I2305"/>
    <mergeCell ref="J2303:J2305"/>
    <mergeCell ref="H2271:H2273"/>
    <mergeCell ref="I2271:I2273"/>
    <mergeCell ref="K2265:K2267"/>
    <mergeCell ref="N2206:N2211"/>
    <mergeCell ref="N2200:N2205"/>
    <mergeCell ref="M2206:M2211"/>
    <mergeCell ref="M2200:M2205"/>
    <mergeCell ref="N2306:N2310"/>
    <mergeCell ref="M2271:M2273"/>
    <mergeCell ref="N2271:N2273"/>
    <mergeCell ref="J2271:J2273"/>
    <mergeCell ref="L2280:L2282"/>
    <mergeCell ref="M2280:M2282"/>
    <mergeCell ref="L2283:L2285"/>
    <mergeCell ref="L2298:L2301"/>
    <mergeCell ref="K2286:K2289"/>
    <mergeCell ref="K2290:K2293"/>
    <mergeCell ref="M2036:M2041"/>
    <mergeCell ref="M2008:M2011"/>
    <mergeCell ref="M2194:M2199"/>
    <mergeCell ref="M2239:M2241"/>
    <mergeCell ref="M2213:M2217"/>
    <mergeCell ref="M2147:M2152"/>
    <mergeCell ref="M2141:M2146"/>
    <mergeCell ref="M2085:M2088"/>
    <mergeCell ref="M2111:M2115"/>
    <mergeCell ref="M2227:M2230"/>
    <mergeCell ref="N2239:N2241"/>
    <mergeCell ref="N2213:N2217"/>
    <mergeCell ref="N2235:N2238"/>
    <mergeCell ref="N2231:N2234"/>
    <mergeCell ref="N2218:N2222"/>
    <mergeCell ref="N2223:N2226"/>
    <mergeCell ref="N2227:N2230"/>
    <mergeCell ref="M2246:M2249"/>
    <mergeCell ref="D1976:D1981"/>
    <mergeCell ref="G1976:G1981"/>
    <mergeCell ref="H1976:H1981"/>
    <mergeCell ref="G1982:G1987"/>
    <mergeCell ref="H1982:H1987"/>
    <mergeCell ref="G1988:G1991"/>
    <mergeCell ref="D2012:D2017"/>
    <mergeCell ref="D2008:D2011"/>
    <mergeCell ref="H2012:H2017"/>
    <mergeCell ref="G2004:G2007"/>
    <mergeCell ref="H2004:H2007"/>
    <mergeCell ref="G2008:G2011"/>
    <mergeCell ref="H2008:H2011"/>
    <mergeCell ref="D1982:D1987"/>
    <mergeCell ref="D1988:D1991"/>
    <mergeCell ref="D1992:D1995"/>
    <mergeCell ref="G1992:G1995"/>
    <mergeCell ref="G1996:G1999"/>
    <mergeCell ref="D2000:D2003"/>
    <mergeCell ref="G2000:G2003"/>
    <mergeCell ref="I1996:I1999"/>
    <mergeCell ref="D1996:D1999"/>
    <mergeCell ref="H1996:H1999"/>
    <mergeCell ref="L2246:L2249"/>
    <mergeCell ref="I2246:I2249"/>
    <mergeCell ref="H2242:H2245"/>
    <mergeCell ref="H1988:H1991"/>
    <mergeCell ref="J1996:J1999"/>
    <mergeCell ref="K2242:K2245"/>
    <mergeCell ref="L2242:L2245"/>
    <mergeCell ref="I2235:I2238"/>
    <mergeCell ref="J2235:J2238"/>
    <mergeCell ref="L2235:L2238"/>
    <mergeCell ref="K1996:K1999"/>
    <mergeCell ref="G1823:G1825"/>
    <mergeCell ref="H1823:H1825"/>
    <mergeCell ref="I1823:I1825"/>
    <mergeCell ref="I1982:I1987"/>
    <mergeCell ref="I1976:I1981"/>
    <mergeCell ref="J1924:J1926"/>
    <mergeCell ref="G1826:G1828"/>
    <mergeCell ref="H1826:H1828"/>
    <mergeCell ref="J1946:J1948"/>
    <mergeCell ref="K2000:K2003"/>
    <mergeCell ref="I2000:I2003"/>
    <mergeCell ref="K2200:K2205"/>
    <mergeCell ref="H2246:H2249"/>
    <mergeCell ref="I2239:I2241"/>
    <mergeCell ref="J2239:J2241"/>
    <mergeCell ref="J2246:J2249"/>
    <mergeCell ref="K2227:K2230"/>
    <mergeCell ref="J2213:J2217"/>
    <mergeCell ref="A2212:N2212"/>
    <mergeCell ref="J1988:J1991"/>
    <mergeCell ref="J2008:J2011"/>
    <mergeCell ref="J2024:J2029"/>
    <mergeCell ref="I2042:I2047"/>
    <mergeCell ref="J2036:J2041"/>
    <mergeCell ref="I1992:I1995"/>
    <mergeCell ref="J1976:J1981"/>
    <mergeCell ref="J1958:J1963"/>
    <mergeCell ref="L1996:L1999"/>
    <mergeCell ref="I1946:I1948"/>
    <mergeCell ref="K1946:K1948"/>
    <mergeCell ref="L1946:L1948"/>
    <mergeCell ref="I1949:I1951"/>
    <mergeCell ref="J1949:J1951"/>
    <mergeCell ref="I1988:I1991"/>
    <mergeCell ref="J1992:J1995"/>
    <mergeCell ref="L2250:L2252"/>
    <mergeCell ref="K2239:K2241"/>
    <mergeCell ref="M2356:M2361"/>
    <mergeCell ref="K2330:K2334"/>
    <mergeCell ref="K2344:K2349"/>
    <mergeCell ref="K2268:K2270"/>
    <mergeCell ref="M2274:M2276"/>
    <mergeCell ref="K2280:K2282"/>
    <mergeCell ref="L2306:L2310"/>
    <mergeCell ref="M2306:M2310"/>
    <mergeCell ref="I2356:I2361"/>
    <mergeCell ref="J2374:J2379"/>
    <mergeCell ref="M2374:M2379"/>
    <mergeCell ref="I2374:I2379"/>
    <mergeCell ref="I2362:I2367"/>
    <mergeCell ref="K2368:K2373"/>
    <mergeCell ref="L2368:L2373"/>
    <mergeCell ref="M2368:M2373"/>
    <mergeCell ref="K2356:K2361"/>
    <mergeCell ref="L2356:L2361"/>
    <mergeCell ref="N2374:N2379"/>
    <mergeCell ref="J2356:J2361"/>
    <mergeCell ref="K2362:K2367"/>
    <mergeCell ref="L2362:L2367"/>
    <mergeCell ref="J2362:J2367"/>
    <mergeCell ref="K2374:K2379"/>
    <mergeCell ref="L2374:L2379"/>
    <mergeCell ref="N2362:N2367"/>
    <mergeCell ref="M2362:M2367"/>
    <mergeCell ref="N2368:N2373"/>
    <mergeCell ref="I2350:I2355"/>
    <mergeCell ref="N2344:N2349"/>
    <mergeCell ref="J2350:J2355"/>
    <mergeCell ref="K2350:K2355"/>
    <mergeCell ref="L2350:L2355"/>
    <mergeCell ref="M2350:M2355"/>
    <mergeCell ref="J2344:J2349"/>
    <mergeCell ref="N2350:N2355"/>
    <mergeCell ref="L2344:L2349"/>
    <mergeCell ref="M2344:M2349"/>
    <mergeCell ref="G2344:G2349"/>
    <mergeCell ref="H2344:H2349"/>
    <mergeCell ref="D2368:D2373"/>
    <mergeCell ref="D2374:D2379"/>
    <mergeCell ref="G2356:G2361"/>
    <mergeCell ref="G2350:G2355"/>
    <mergeCell ref="H2350:H2355"/>
    <mergeCell ref="D2344:D2349"/>
    <mergeCell ref="D2350:D2355"/>
    <mergeCell ref="D2356:D2361"/>
    <mergeCell ref="D2362:D2367"/>
    <mergeCell ref="H2356:H2361"/>
    <mergeCell ref="H2368:H2373"/>
    <mergeCell ref="G2368:G2373"/>
    <mergeCell ref="G2374:G2379"/>
    <mergeCell ref="G2362:G2367"/>
    <mergeCell ref="H2362:H2367"/>
    <mergeCell ref="H2374:H2379"/>
    <mergeCell ref="K2298:K2301"/>
    <mergeCell ref="L2294:L2297"/>
    <mergeCell ref="J2330:J2334"/>
    <mergeCell ref="K2325:K2329"/>
    <mergeCell ref="J2320:J2324"/>
    <mergeCell ref="K2320:K2324"/>
    <mergeCell ref="J2325:J2329"/>
    <mergeCell ref="I2344:I2349"/>
    <mergeCell ref="N2268:N2270"/>
    <mergeCell ref="G2280:G2282"/>
    <mergeCell ref="H2280:H2282"/>
    <mergeCell ref="N2274:N2276"/>
    <mergeCell ref="N2277:N2279"/>
    <mergeCell ref="J2274:J2276"/>
    <mergeCell ref="J2277:J2279"/>
    <mergeCell ref="M2268:M2270"/>
    <mergeCell ref="I2280:I2282"/>
    <mergeCell ref="N2265:N2267"/>
    <mergeCell ref="L2268:L2270"/>
    <mergeCell ref="L2253:L2255"/>
    <mergeCell ref="M2253:M2255"/>
    <mergeCell ref="N2253:N2255"/>
    <mergeCell ref="M2262:M2264"/>
    <mergeCell ref="L2265:L2267"/>
    <mergeCell ref="L2262:L2264"/>
    <mergeCell ref="M2265:M2267"/>
    <mergeCell ref="L2259:L2261"/>
    <mergeCell ref="G2262:G2264"/>
    <mergeCell ref="J2268:J2270"/>
    <mergeCell ref="J2262:J2264"/>
    <mergeCell ref="J2265:J2267"/>
    <mergeCell ref="G2265:G2267"/>
    <mergeCell ref="H2265:H2267"/>
    <mergeCell ref="I2265:I2267"/>
    <mergeCell ref="G2268:G2270"/>
    <mergeCell ref="H2268:H2270"/>
    <mergeCell ref="I2262:I2264"/>
    <mergeCell ref="M2250:M2252"/>
    <mergeCell ref="H2259:H2261"/>
    <mergeCell ref="I2259:I2261"/>
    <mergeCell ref="J2259:J2261"/>
    <mergeCell ref="K2259:K2261"/>
    <mergeCell ref="M2259:M2261"/>
    <mergeCell ref="K2253:K2255"/>
    <mergeCell ref="K2250:K2252"/>
    <mergeCell ref="H2256:H2258"/>
    <mergeCell ref="I2256:I2258"/>
    <mergeCell ref="G2259:G2261"/>
    <mergeCell ref="K2256:K2258"/>
    <mergeCell ref="L2256:L2258"/>
    <mergeCell ref="N2256:N2258"/>
    <mergeCell ref="G2256:G2258"/>
    <mergeCell ref="J2256:J2258"/>
    <mergeCell ref="G2253:G2255"/>
    <mergeCell ref="H2253:H2255"/>
    <mergeCell ref="I2253:I2255"/>
    <mergeCell ref="J2253:J2255"/>
    <mergeCell ref="G2250:G2252"/>
    <mergeCell ref="H2250:H2252"/>
    <mergeCell ref="I2250:I2252"/>
    <mergeCell ref="J2250:J2252"/>
    <mergeCell ref="L2239:L2241"/>
    <mergeCell ref="D2246:D2249"/>
    <mergeCell ref="D2242:D2245"/>
    <mergeCell ref="G2242:G2245"/>
    <mergeCell ref="I2242:I2245"/>
    <mergeCell ref="G2246:G2249"/>
    <mergeCell ref="G2239:G2241"/>
    <mergeCell ref="H2239:H2241"/>
    <mergeCell ref="K2246:K2249"/>
    <mergeCell ref="D2239:D2241"/>
    <mergeCell ref="G2235:G2238"/>
    <mergeCell ref="H2235:H2238"/>
    <mergeCell ref="M2231:M2234"/>
    <mergeCell ref="J2231:J2234"/>
    <mergeCell ref="K2231:K2234"/>
    <mergeCell ref="L2231:L2234"/>
    <mergeCell ref="M2235:M2238"/>
    <mergeCell ref="K2235:K2238"/>
    <mergeCell ref="G2231:G2234"/>
    <mergeCell ref="H2231:H2234"/>
    <mergeCell ref="G2223:G2226"/>
    <mergeCell ref="H2223:H2226"/>
    <mergeCell ref="I2223:I2226"/>
    <mergeCell ref="J2223:J2226"/>
    <mergeCell ref="G2227:G2230"/>
    <mergeCell ref="H2227:H2230"/>
    <mergeCell ref="L2227:L2230"/>
    <mergeCell ref="I2206:I2211"/>
    <mergeCell ref="L2213:L2217"/>
    <mergeCell ref="G2213:G2217"/>
    <mergeCell ref="K2206:K2211"/>
    <mergeCell ref="J2206:J2211"/>
    <mergeCell ref="K2213:K2217"/>
    <mergeCell ref="H2213:H2217"/>
    <mergeCell ref="M2223:M2226"/>
    <mergeCell ref="K2218:K2222"/>
    <mergeCell ref="L2218:L2222"/>
    <mergeCell ref="M2218:M2222"/>
    <mergeCell ref="K2223:K2226"/>
    <mergeCell ref="L2223:L2226"/>
    <mergeCell ref="I2213:I2217"/>
    <mergeCell ref="L2206:L2211"/>
    <mergeCell ref="H2206:H2211"/>
    <mergeCell ref="G2218:G2222"/>
    <mergeCell ref="H2218:H2222"/>
    <mergeCell ref="G2206:G2211"/>
    <mergeCell ref="I2227:I2230"/>
    <mergeCell ref="J2227:J2230"/>
    <mergeCell ref="I2218:I2222"/>
    <mergeCell ref="J2218:J2222"/>
    <mergeCell ref="L2200:L2205"/>
    <mergeCell ref="J2200:J2205"/>
    <mergeCell ref="K2188:K2193"/>
    <mergeCell ref="L2188:L2193"/>
    <mergeCell ref="L2194:L2199"/>
    <mergeCell ref="J2194:J2199"/>
    <mergeCell ref="J2188:J2193"/>
    <mergeCell ref="M2188:M2193"/>
    <mergeCell ref="N2188:N2193"/>
    <mergeCell ref="K2194:K2199"/>
    <mergeCell ref="N2194:N2199"/>
    <mergeCell ref="N2176:N2181"/>
    <mergeCell ref="H2176:H2181"/>
    <mergeCell ref="J2176:J2181"/>
    <mergeCell ref="I2182:I2187"/>
    <mergeCell ref="J2182:J2187"/>
    <mergeCell ref="I2176:I2181"/>
    <mergeCell ref="N2182:N2187"/>
    <mergeCell ref="K2182:K2187"/>
    <mergeCell ref="L2182:L2187"/>
    <mergeCell ref="G2182:G2187"/>
    <mergeCell ref="H2182:H2187"/>
    <mergeCell ref="G2176:G2181"/>
    <mergeCell ref="M2182:M2187"/>
    <mergeCell ref="K2176:K2181"/>
    <mergeCell ref="L2176:L2181"/>
    <mergeCell ref="M2176:M2181"/>
    <mergeCell ref="N2166:N2171"/>
    <mergeCell ref="K2147:K2152"/>
    <mergeCell ref="N2127:N2130"/>
    <mergeCell ref="N2131:N2134"/>
    <mergeCell ref="N2135:N2140"/>
    <mergeCell ref="M2127:M2130"/>
    <mergeCell ref="M2135:M2140"/>
    <mergeCell ref="M2131:M2134"/>
    <mergeCell ref="N2141:N2146"/>
    <mergeCell ref="M2160:M2165"/>
    <mergeCell ref="L2166:L2171"/>
    <mergeCell ref="L2160:L2165"/>
    <mergeCell ref="K2154:K2159"/>
    <mergeCell ref="L2154:L2159"/>
    <mergeCell ref="K2160:K2165"/>
    <mergeCell ref="D2166:D2171"/>
    <mergeCell ref="H2160:H2165"/>
    <mergeCell ref="I2166:I2171"/>
    <mergeCell ref="N2107:N2110"/>
    <mergeCell ref="M2166:M2171"/>
    <mergeCell ref="M2154:M2159"/>
    <mergeCell ref="H2127:H2130"/>
    <mergeCell ref="J2160:J2165"/>
    <mergeCell ref="H2131:H2134"/>
    <mergeCell ref="I2131:I2134"/>
    <mergeCell ref="N2089:N2091"/>
    <mergeCell ref="N2092:N2094"/>
    <mergeCell ref="N2154:N2159"/>
    <mergeCell ref="N2160:N2165"/>
    <mergeCell ref="N2102:N2106"/>
    <mergeCell ref="N2111:N2115"/>
    <mergeCell ref="N2147:N2152"/>
    <mergeCell ref="N2122:N2126"/>
    <mergeCell ref="J2127:J2130"/>
    <mergeCell ref="K2127:K2130"/>
    <mergeCell ref="G2160:G2165"/>
    <mergeCell ref="G2166:G2171"/>
    <mergeCell ref="H2166:H2171"/>
    <mergeCell ref="J2166:J2171"/>
    <mergeCell ref="I2160:I2165"/>
    <mergeCell ref="K2166:K2171"/>
    <mergeCell ref="J2131:J2134"/>
    <mergeCell ref="I2135:I2140"/>
    <mergeCell ref="L2141:L2146"/>
    <mergeCell ref="L2147:L2152"/>
    <mergeCell ref="L2127:L2130"/>
    <mergeCell ref="K2131:K2134"/>
    <mergeCell ref="L2135:L2140"/>
    <mergeCell ref="L2131:L2134"/>
    <mergeCell ref="K2135:K2140"/>
    <mergeCell ref="J2135:J2140"/>
    <mergeCell ref="H2135:H2140"/>
    <mergeCell ref="J2147:J2152"/>
    <mergeCell ref="J2141:J2146"/>
    <mergeCell ref="G2154:G2159"/>
    <mergeCell ref="I2154:I2159"/>
    <mergeCell ref="J2154:J2159"/>
    <mergeCell ref="H2154:H2159"/>
    <mergeCell ref="G2141:G2146"/>
    <mergeCell ref="K2141:K2146"/>
    <mergeCell ref="H2147:H2152"/>
    <mergeCell ref="I2147:I2152"/>
    <mergeCell ref="H2141:H2146"/>
    <mergeCell ref="I2141:I2146"/>
    <mergeCell ref="I2231:I2234"/>
    <mergeCell ref="G2194:G2199"/>
    <mergeCell ref="H2188:H2193"/>
    <mergeCell ref="I2188:I2193"/>
    <mergeCell ref="H2194:H2199"/>
    <mergeCell ref="I2194:I2199"/>
    <mergeCell ref="G2200:G2205"/>
    <mergeCell ref="H2200:H2205"/>
    <mergeCell ref="I2200:I2205"/>
    <mergeCell ref="G2188:G2193"/>
    <mergeCell ref="L2111:L2115"/>
    <mergeCell ref="H2111:H2115"/>
    <mergeCell ref="I2111:I2115"/>
    <mergeCell ref="J2111:J2115"/>
    <mergeCell ref="J2107:J2110"/>
    <mergeCell ref="J2122:J2126"/>
    <mergeCell ref="K2122:K2126"/>
    <mergeCell ref="I2122:I2126"/>
    <mergeCell ref="M2102:M2106"/>
    <mergeCell ref="D2127:D2130"/>
    <mergeCell ref="G2127:G2130"/>
    <mergeCell ref="I2127:I2130"/>
    <mergeCell ref="M2107:M2110"/>
    <mergeCell ref="K2107:K2110"/>
    <mergeCell ref="M2122:M2126"/>
    <mergeCell ref="L2122:L2126"/>
    <mergeCell ref="I2107:I2110"/>
    <mergeCell ref="L2107:L2110"/>
    <mergeCell ref="K2092:K2094"/>
    <mergeCell ref="J2102:J2106"/>
    <mergeCell ref="K2102:K2106"/>
    <mergeCell ref="L2102:L2106"/>
    <mergeCell ref="D2102:D2106"/>
    <mergeCell ref="G2102:G2106"/>
    <mergeCell ref="D2298:D2301"/>
    <mergeCell ref="D2107:D2110"/>
    <mergeCell ref="G2107:G2110"/>
    <mergeCell ref="D2283:D2285"/>
    <mergeCell ref="D2262:D2264"/>
    <mergeCell ref="D2265:D2267"/>
    <mergeCell ref="D2268:D2270"/>
    <mergeCell ref="D2271:D2273"/>
    <mergeCell ref="M2089:M2091"/>
    <mergeCell ref="I2274:I2276"/>
    <mergeCell ref="K2277:K2279"/>
    <mergeCell ref="L2277:L2279"/>
    <mergeCell ref="M2277:M2279"/>
    <mergeCell ref="K2274:K2276"/>
    <mergeCell ref="L2274:L2276"/>
    <mergeCell ref="I2102:I2106"/>
    <mergeCell ref="M2092:M2094"/>
    <mergeCell ref="J2092:J2094"/>
    <mergeCell ref="D2147:D2152"/>
    <mergeCell ref="G2147:G2152"/>
    <mergeCell ref="G2274:G2276"/>
    <mergeCell ref="H2274:H2276"/>
    <mergeCell ref="D2154:D2159"/>
    <mergeCell ref="D2253:D2255"/>
    <mergeCell ref="D2218:D2222"/>
    <mergeCell ref="D2227:D2230"/>
    <mergeCell ref="D2223:D2226"/>
    <mergeCell ref="D2235:D2238"/>
    <mergeCell ref="L2085:L2088"/>
    <mergeCell ref="H2085:H2088"/>
    <mergeCell ref="J2089:J2091"/>
    <mergeCell ref="K2089:K2091"/>
    <mergeCell ref="L2089:L2091"/>
    <mergeCell ref="I2075:I2078"/>
    <mergeCell ref="J2075:J2078"/>
    <mergeCell ref="K2075:K2078"/>
    <mergeCell ref="I2085:I2088"/>
    <mergeCell ref="J2085:J2088"/>
    <mergeCell ref="K2085:K2088"/>
    <mergeCell ref="I2079:I2081"/>
    <mergeCell ref="J2079:J2081"/>
    <mergeCell ref="K2079:K2081"/>
    <mergeCell ref="H2082:H2084"/>
    <mergeCell ref="I2082:I2084"/>
    <mergeCell ref="J2082:J2084"/>
    <mergeCell ref="L2079:L2081"/>
    <mergeCell ref="M2079:M2081"/>
    <mergeCell ref="K2082:K2084"/>
    <mergeCell ref="L2082:L2084"/>
    <mergeCell ref="M2082:M2084"/>
    <mergeCell ref="D2075:D2078"/>
    <mergeCell ref="D2085:D2088"/>
    <mergeCell ref="G2075:G2078"/>
    <mergeCell ref="D2079:D2081"/>
    <mergeCell ref="G2079:G2081"/>
    <mergeCell ref="D2082:D2084"/>
    <mergeCell ref="G2082:G2084"/>
    <mergeCell ref="G2085:G2088"/>
    <mergeCell ref="L2075:L2078"/>
    <mergeCell ref="M2075:M2078"/>
    <mergeCell ref="K2065:K2067"/>
    <mergeCell ref="L2065:L2067"/>
    <mergeCell ref="K2068:K2070"/>
    <mergeCell ref="L2068:L2070"/>
    <mergeCell ref="M2068:M2070"/>
    <mergeCell ref="N2068:N2070"/>
    <mergeCell ref="H2065:H2067"/>
    <mergeCell ref="N2065:N2067"/>
    <mergeCell ref="M2065:M2067"/>
    <mergeCell ref="I2065:I2067"/>
    <mergeCell ref="I2068:I2070"/>
    <mergeCell ref="J2068:J2070"/>
    <mergeCell ref="D2042:D2047"/>
    <mergeCell ref="J2042:J2047"/>
    <mergeCell ref="D2065:D2067"/>
    <mergeCell ref="D2068:D2070"/>
    <mergeCell ref="G2065:G2067"/>
    <mergeCell ref="J2065:J2067"/>
    <mergeCell ref="K2042:K2047"/>
    <mergeCell ref="D2024:D2029"/>
    <mergeCell ref="M2018:M2023"/>
    <mergeCell ref="M2024:M2029"/>
    <mergeCell ref="L2018:L2023"/>
    <mergeCell ref="L2024:L2029"/>
    <mergeCell ref="D2018:D2023"/>
    <mergeCell ref="H2018:H2023"/>
    <mergeCell ref="I2018:I2023"/>
    <mergeCell ref="G2036:G2041"/>
    <mergeCell ref="G2018:G2023"/>
    <mergeCell ref="J2000:J2003"/>
    <mergeCell ref="L2030:L2035"/>
    <mergeCell ref="K2004:K2007"/>
    <mergeCell ref="J2004:J2007"/>
    <mergeCell ref="L2004:L2007"/>
    <mergeCell ref="J2018:J2023"/>
    <mergeCell ref="K2024:K2029"/>
    <mergeCell ref="K2030:K2035"/>
    <mergeCell ref="L2000:L2003"/>
    <mergeCell ref="J1964:J1969"/>
    <mergeCell ref="L1964:L1969"/>
    <mergeCell ref="K1964:K1969"/>
    <mergeCell ref="J1970:J1975"/>
    <mergeCell ref="L1958:L1963"/>
    <mergeCell ref="D1958:D1963"/>
    <mergeCell ref="G1958:G1963"/>
    <mergeCell ref="D1970:D1975"/>
    <mergeCell ref="G1970:G1975"/>
    <mergeCell ref="H1970:H1975"/>
    <mergeCell ref="I1970:I1975"/>
    <mergeCell ref="H1964:H1969"/>
    <mergeCell ref="D1964:D1969"/>
    <mergeCell ref="L1970:L1975"/>
    <mergeCell ref="N1930:N1931"/>
    <mergeCell ref="M1930:M1931"/>
    <mergeCell ref="G1930:G1931"/>
    <mergeCell ref="N1952:N1957"/>
    <mergeCell ref="J1952:J1957"/>
    <mergeCell ref="K1952:K1957"/>
    <mergeCell ref="L1952:L1957"/>
    <mergeCell ref="M1952:M1957"/>
    <mergeCell ref="J1930:J1931"/>
    <mergeCell ref="J1939:J1941"/>
    <mergeCell ref="H2122:H2126"/>
    <mergeCell ref="G2122:G2126"/>
    <mergeCell ref="H2036:H2041"/>
    <mergeCell ref="H2068:H2070"/>
    <mergeCell ref="G2068:G2070"/>
    <mergeCell ref="H2079:H2081"/>
    <mergeCell ref="H2075:H2078"/>
    <mergeCell ref="H2107:H2110"/>
    <mergeCell ref="G2131:G2134"/>
    <mergeCell ref="H2030:H2035"/>
    <mergeCell ref="H1958:H1963"/>
    <mergeCell ref="K1930:K1931"/>
    <mergeCell ref="K2036:K2041"/>
    <mergeCell ref="K2018:K2023"/>
    <mergeCell ref="K2008:K2011"/>
    <mergeCell ref="J2012:J2017"/>
    <mergeCell ref="K2111:K2115"/>
    <mergeCell ref="H2102:H2106"/>
    <mergeCell ref="G2277:G2279"/>
    <mergeCell ref="H2277:H2279"/>
    <mergeCell ref="I2277:I2279"/>
    <mergeCell ref="I1964:I1969"/>
    <mergeCell ref="G2024:G2029"/>
    <mergeCell ref="I2036:I2041"/>
    <mergeCell ref="G2030:G2035"/>
    <mergeCell ref="I2030:I2035"/>
    <mergeCell ref="G1964:G1969"/>
    <mergeCell ref="G2111:G2115"/>
    <mergeCell ref="H1921:H1923"/>
    <mergeCell ref="I2012:I2017"/>
    <mergeCell ref="I1921:I1923"/>
    <mergeCell ref="I2024:I2029"/>
    <mergeCell ref="H1952:H1957"/>
    <mergeCell ref="H1930:H1931"/>
    <mergeCell ref="I1930:I1931"/>
    <mergeCell ref="H1992:H1995"/>
    <mergeCell ref="L2012:L2017"/>
    <mergeCell ref="H1924:H1926"/>
    <mergeCell ref="L1930:L1931"/>
    <mergeCell ref="J1982:J1987"/>
    <mergeCell ref="K1982:K1987"/>
    <mergeCell ref="K2012:K2017"/>
    <mergeCell ref="L2008:L2011"/>
    <mergeCell ref="H1949:H1951"/>
    <mergeCell ref="I1952:I1957"/>
    <mergeCell ref="I1958:I1963"/>
    <mergeCell ref="D1952:D1957"/>
    <mergeCell ref="G1952:G1957"/>
    <mergeCell ref="D1939:D1941"/>
    <mergeCell ref="I1939:I1941"/>
    <mergeCell ref="G1949:G1951"/>
    <mergeCell ref="G1939:G1941"/>
    <mergeCell ref="D1946:D1948"/>
    <mergeCell ref="G1946:G1948"/>
    <mergeCell ref="D1930:D1931"/>
    <mergeCell ref="D1935:D1938"/>
    <mergeCell ref="G1935:G1938"/>
    <mergeCell ref="D1921:D1923"/>
    <mergeCell ref="D1924:D1926"/>
    <mergeCell ref="G1921:G1923"/>
    <mergeCell ref="N1913:N1917"/>
    <mergeCell ref="L1913:L1917"/>
    <mergeCell ref="N1918:N1920"/>
    <mergeCell ref="N1921:N1923"/>
    <mergeCell ref="L1918:L1920"/>
    <mergeCell ref="M1918:M1920"/>
    <mergeCell ref="M1913:M1917"/>
    <mergeCell ref="K1924:K1926"/>
    <mergeCell ref="G1918:G1920"/>
    <mergeCell ref="H1913:H1917"/>
    <mergeCell ref="I1913:I1917"/>
    <mergeCell ref="J1913:J1917"/>
    <mergeCell ref="K1913:K1917"/>
    <mergeCell ref="I1924:I1926"/>
    <mergeCell ref="I1918:I1920"/>
    <mergeCell ref="J1921:J1923"/>
    <mergeCell ref="K1921:K1923"/>
    <mergeCell ref="J1891:J1895"/>
    <mergeCell ref="G1924:G1926"/>
    <mergeCell ref="E1930:E1931"/>
    <mergeCell ref="F1930:F1931"/>
    <mergeCell ref="J1918:J1920"/>
    <mergeCell ref="G1908:G1912"/>
    <mergeCell ref="G1896:G1901"/>
    <mergeCell ref="H1908:H1912"/>
    <mergeCell ref="H1918:H1920"/>
    <mergeCell ref="I1908:I1912"/>
    <mergeCell ref="N1885:N1890"/>
    <mergeCell ref="N1908:N1912"/>
    <mergeCell ref="M1891:M1895"/>
    <mergeCell ref="N1891:N1895"/>
    <mergeCell ref="N1896:N1901"/>
    <mergeCell ref="N1902:N1907"/>
    <mergeCell ref="D1896:D1901"/>
    <mergeCell ref="D1902:D1907"/>
    <mergeCell ref="K1891:K1895"/>
    <mergeCell ref="L1891:L1895"/>
    <mergeCell ref="J1902:J1907"/>
    <mergeCell ref="K1902:K1907"/>
    <mergeCell ref="G1902:G1907"/>
    <mergeCell ref="L1902:L1907"/>
    <mergeCell ref="D1891:D1895"/>
    <mergeCell ref="I1902:I1907"/>
    <mergeCell ref="I1885:I1890"/>
    <mergeCell ref="G1891:G1895"/>
    <mergeCell ref="H1891:H1895"/>
    <mergeCell ref="I1891:I1895"/>
    <mergeCell ref="G1885:G1890"/>
    <mergeCell ref="H1885:H1890"/>
    <mergeCell ref="D1908:D1912"/>
    <mergeCell ref="D1913:D1917"/>
    <mergeCell ref="K1896:K1901"/>
    <mergeCell ref="L1896:L1901"/>
    <mergeCell ref="H1896:H1901"/>
    <mergeCell ref="I1896:I1901"/>
    <mergeCell ref="J1896:J1901"/>
    <mergeCell ref="H1902:H1907"/>
    <mergeCell ref="J1908:J1912"/>
    <mergeCell ref="G1913:G1917"/>
    <mergeCell ref="J1885:J1890"/>
    <mergeCell ref="K1881:K1884"/>
    <mergeCell ref="M1877:M1880"/>
    <mergeCell ref="J1881:J1884"/>
    <mergeCell ref="J1877:J1880"/>
    <mergeCell ref="K1877:K1880"/>
    <mergeCell ref="L1877:L1880"/>
    <mergeCell ref="L1881:L1884"/>
    <mergeCell ref="M1881:M1884"/>
    <mergeCell ref="D1885:D1890"/>
    <mergeCell ref="G1881:G1884"/>
    <mergeCell ref="D1881:D1884"/>
    <mergeCell ref="H1881:H1884"/>
    <mergeCell ref="I1881:I1884"/>
    <mergeCell ref="J1873:J1876"/>
    <mergeCell ref="M1855:M1858"/>
    <mergeCell ref="N1855:N1858"/>
    <mergeCell ref="K1859:K1862"/>
    <mergeCell ref="L1859:L1862"/>
    <mergeCell ref="M1859:M1862"/>
    <mergeCell ref="N1859:N1862"/>
    <mergeCell ref="K1855:K1858"/>
    <mergeCell ref="J1863:J1866"/>
    <mergeCell ref="D1855:D1858"/>
    <mergeCell ref="D1859:D1862"/>
    <mergeCell ref="I1859:I1862"/>
    <mergeCell ref="J1855:J1858"/>
    <mergeCell ref="J1859:J1862"/>
    <mergeCell ref="H1859:H1862"/>
    <mergeCell ref="G1855:G1858"/>
    <mergeCell ref="D1877:D1880"/>
    <mergeCell ref="D1873:D1876"/>
    <mergeCell ref="G1873:G1876"/>
    <mergeCell ref="G1877:G1880"/>
    <mergeCell ref="H1852:H1854"/>
    <mergeCell ref="I1873:I1876"/>
    <mergeCell ref="I1855:I1858"/>
    <mergeCell ref="H1855:H1858"/>
    <mergeCell ref="H1863:H1866"/>
    <mergeCell ref="I1863:I1866"/>
    <mergeCell ref="H1873:H1876"/>
    <mergeCell ref="N1852:N1854"/>
    <mergeCell ref="M1844:M1847"/>
    <mergeCell ref="N1848:N1851"/>
    <mergeCell ref="N1844:N1847"/>
    <mergeCell ref="M1848:M1851"/>
    <mergeCell ref="I1848:I1851"/>
    <mergeCell ref="M1852:M1854"/>
    <mergeCell ref="D1852:D1854"/>
    <mergeCell ref="H1877:H1880"/>
    <mergeCell ref="G1848:G1851"/>
    <mergeCell ref="I1852:I1854"/>
    <mergeCell ref="J1848:J1851"/>
    <mergeCell ref="G1852:G1854"/>
    <mergeCell ref="J1852:J1854"/>
    <mergeCell ref="G1859:G1862"/>
    <mergeCell ref="N1832:N1836"/>
    <mergeCell ref="M1837:M1840"/>
    <mergeCell ref="N1837:N1840"/>
    <mergeCell ref="N1841:N1843"/>
    <mergeCell ref="M1841:M1843"/>
    <mergeCell ref="H1832:H1836"/>
    <mergeCell ref="G1837:G1840"/>
    <mergeCell ref="H1837:H1840"/>
    <mergeCell ref="D1837:D1840"/>
    <mergeCell ref="I1837:I1840"/>
    <mergeCell ref="J1837:J1840"/>
    <mergeCell ref="I1841:I1843"/>
    <mergeCell ref="I1844:I1847"/>
    <mergeCell ref="J1844:J1847"/>
    <mergeCell ref="J1841:J1843"/>
    <mergeCell ref="J1814:J1816"/>
    <mergeCell ref="J1826:J1828"/>
    <mergeCell ref="I1817:I1819"/>
    <mergeCell ref="J1817:J1819"/>
    <mergeCell ref="I1826:I1828"/>
    <mergeCell ref="J1823:J1825"/>
    <mergeCell ref="J1820:J1822"/>
    <mergeCell ref="I1820:I1822"/>
    <mergeCell ref="I1814:I1816"/>
    <mergeCell ref="I1793:I1795"/>
    <mergeCell ref="H1787:H1789"/>
    <mergeCell ref="D1793:D1795"/>
    <mergeCell ref="I1787:I1789"/>
    <mergeCell ref="D1790:D1792"/>
    <mergeCell ref="G1793:G1795"/>
    <mergeCell ref="I1772:I1777"/>
    <mergeCell ref="D1784:D1786"/>
    <mergeCell ref="D1787:D1789"/>
    <mergeCell ref="D1778:D1783"/>
    <mergeCell ref="L1739:L1741"/>
    <mergeCell ref="G1790:G1792"/>
    <mergeCell ref="I1736:I1738"/>
    <mergeCell ref="H1742:H1744"/>
    <mergeCell ref="I1742:I1744"/>
    <mergeCell ref="G1767:G1771"/>
    <mergeCell ref="H1772:H1777"/>
    <mergeCell ref="H1778:H1783"/>
    <mergeCell ref="H1784:H1786"/>
    <mergeCell ref="I1790:I1792"/>
    <mergeCell ref="K1742:K1744"/>
    <mergeCell ref="I1739:I1741"/>
    <mergeCell ref="I1745:I1747"/>
    <mergeCell ref="J1745:J1747"/>
    <mergeCell ref="J1739:J1741"/>
    <mergeCell ref="N1718:N1722"/>
    <mergeCell ref="K1718:K1722"/>
    <mergeCell ref="N1723:N1727"/>
    <mergeCell ref="J1718:J1722"/>
    <mergeCell ref="L1723:L1727"/>
    <mergeCell ref="J1723:J1727"/>
    <mergeCell ref="K1723:K1727"/>
    <mergeCell ref="M1723:M1727"/>
    <mergeCell ref="M1713:M1717"/>
    <mergeCell ref="K1733:K1735"/>
    <mergeCell ref="J1733:J1735"/>
    <mergeCell ref="M1718:M1722"/>
    <mergeCell ref="L1733:L1735"/>
    <mergeCell ref="M1733:M1735"/>
    <mergeCell ref="L1728:L1732"/>
    <mergeCell ref="K1728:K1732"/>
    <mergeCell ref="J1728:J1732"/>
    <mergeCell ref="M1728:M1732"/>
    <mergeCell ref="M1708:M1712"/>
    <mergeCell ref="M1695:M1698"/>
    <mergeCell ref="L1679:L1682"/>
    <mergeCell ref="L1691:L1694"/>
    <mergeCell ref="M1679:M1682"/>
    <mergeCell ref="K1664:K1668"/>
    <mergeCell ref="L1718:L1722"/>
    <mergeCell ref="K1695:K1698"/>
    <mergeCell ref="L1687:L1690"/>
    <mergeCell ref="K1683:K1686"/>
    <mergeCell ref="K1674:K1678"/>
    <mergeCell ref="K1679:K1682"/>
    <mergeCell ref="L1713:L1717"/>
    <mergeCell ref="K1699:K1702"/>
    <mergeCell ref="I1687:I1690"/>
    <mergeCell ref="M1691:M1694"/>
    <mergeCell ref="L1703:L1707"/>
    <mergeCell ref="M1703:M1707"/>
    <mergeCell ref="J1691:J1694"/>
    <mergeCell ref="J1687:J1690"/>
    <mergeCell ref="K1687:K1690"/>
    <mergeCell ref="L1699:L1702"/>
    <mergeCell ref="J1703:J1707"/>
    <mergeCell ref="I1691:I1694"/>
    <mergeCell ref="N1664:N1668"/>
    <mergeCell ref="N1674:N1678"/>
    <mergeCell ref="N1669:N1673"/>
    <mergeCell ref="L1674:L1678"/>
    <mergeCell ref="M1669:M1673"/>
    <mergeCell ref="L1664:L1668"/>
    <mergeCell ref="M1664:M1668"/>
    <mergeCell ref="L1669:L1673"/>
    <mergeCell ref="M1674:M1678"/>
    <mergeCell ref="N1653:N1658"/>
    <mergeCell ref="N1659:N1663"/>
    <mergeCell ref="I1653:I1658"/>
    <mergeCell ref="K1653:K1658"/>
    <mergeCell ref="L1653:L1658"/>
    <mergeCell ref="K1659:K1663"/>
    <mergeCell ref="L1659:L1663"/>
    <mergeCell ref="M1653:M1658"/>
    <mergeCell ref="M1659:M1663"/>
    <mergeCell ref="I1659:I1663"/>
    <mergeCell ref="D1683:D1686"/>
    <mergeCell ref="I1674:I1678"/>
    <mergeCell ref="H1679:H1682"/>
    <mergeCell ref="I1679:I1682"/>
    <mergeCell ref="H1683:H1686"/>
    <mergeCell ref="I1683:I1686"/>
    <mergeCell ref="G1683:G1686"/>
    <mergeCell ref="G1674:G1678"/>
    <mergeCell ref="H1674:H1678"/>
    <mergeCell ref="D1679:D1682"/>
    <mergeCell ref="D1703:D1707"/>
    <mergeCell ref="D1708:D1712"/>
    <mergeCell ref="G1691:G1694"/>
    <mergeCell ref="G1699:G1702"/>
    <mergeCell ref="D1699:D1702"/>
    <mergeCell ref="D1691:D1694"/>
    <mergeCell ref="G1703:G1707"/>
    <mergeCell ref="D1736:D1738"/>
    <mergeCell ref="D1739:D1741"/>
    <mergeCell ref="D1728:D1732"/>
    <mergeCell ref="D1647:D1652"/>
    <mergeCell ref="D1659:D1663"/>
    <mergeCell ref="D1669:D1673"/>
    <mergeCell ref="D1674:D1678"/>
    <mergeCell ref="D1653:D1658"/>
    <mergeCell ref="D1664:D1668"/>
    <mergeCell ref="D1713:D1717"/>
    <mergeCell ref="D1767:D1771"/>
    <mergeCell ref="D1755:D1760"/>
    <mergeCell ref="H1805:H1807"/>
    <mergeCell ref="D1742:D1744"/>
    <mergeCell ref="D1772:D1777"/>
    <mergeCell ref="H1749:H1754"/>
    <mergeCell ref="G1755:G1760"/>
    <mergeCell ref="D1745:D1747"/>
    <mergeCell ref="G1784:G1786"/>
    <mergeCell ref="D1796:D1798"/>
    <mergeCell ref="I1808:I1810"/>
    <mergeCell ref="H1802:H1804"/>
    <mergeCell ref="D1802:D1804"/>
    <mergeCell ref="G1808:G1810"/>
    <mergeCell ref="G1802:G1804"/>
    <mergeCell ref="D1805:D1807"/>
    <mergeCell ref="I1802:I1804"/>
    <mergeCell ref="I1805:I1807"/>
    <mergeCell ref="D1749:D1754"/>
    <mergeCell ref="H1739:H1741"/>
    <mergeCell ref="D1761:D1766"/>
    <mergeCell ref="I1749:I1754"/>
    <mergeCell ref="I1761:I1766"/>
    <mergeCell ref="H1755:H1760"/>
    <mergeCell ref="H1761:H1766"/>
    <mergeCell ref="G1749:G1754"/>
    <mergeCell ref="I1755:I1760"/>
    <mergeCell ref="G1723:G1727"/>
    <mergeCell ref="H1713:H1717"/>
    <mergeCell ref="G1713:G1717"/>
    <mergeCell ref="G1718:G1722"/>
    <mergeCell ref="H1820:H1822"/>
    <mergeCell ref="H1811:H1813"/>
    <mergeCell ref="I1811:I1813"/>
    <mergeCell ref="H1790:H1792"/>
    <mergeCell ref="H1799:H1801"/>
    <mergeCell ref="H1793:H1795"/>
    <mergeCell ref="H1796:H1798"/>
    <mergeCell ref="I1796:I1798"/>
    <mergeCell ref="I1799:I1801"/>
    <mergeCell ref="H1808:H1810"/>
    <mergeCell ref="I1832:I1836"/>
    <mergeCell ref="G1728:G1732"/>
    <mergeCell ref="H1736:H1738"/>
    <mergeCell ref="G1742:G1744"/>
    <mergeCell ref="G1811:G1813"/>
    <mergeCell ref="G1814:G1816"/>
    <mergeCell ref="G1817:G1819"/>
    <mergeCell ref="G1820:G1822"/>
    <mergeCell ref="G1832:G1836"/>
    <mergeCell ref="H1767:H1771"/>
    <mergeCell ref="G1733:G1735"/>
    <mergeCell ref="H1733:H1735"/>
    <mergeCell ref="H1745:H1747"/>
    <mergeCell ref="G1736:G1738"/>
    <mergeCell ref="G1739:G1741"/>
    <mergeCell ref="D1848:D1851"/>
    <mergeCell ref="D1841:D1843"/>
    <mergeCell ref="D1844:D1847"/>
    <mergeCell ref="H1844:H1847"/>
    <mergeCell ref="G1841:G1843"/>
    <mergeCell ref="H1841:H1843"/>
    <mergeCell ref="H1848:H1851"/>
    <mergeCell ref="D1799:D1801"/>
    <mergeCell ref="G1844:G1847"/>
    <mergeCell ref="D1814:D1816"/>
    <mergeCell ref="D1808:D1810"/>
    <mergeCell ref="D1811:D1813"/>
    <mergeCell ref="D1820:D1822"/>
    <mergeCell ref="D1823:D1825"/>
    <mergeCell ref="D1832:D1836"/>
    <mergeCell ref="D1826:D1828"/>
    <mergeCell ref="D1817:D1819"/>
    <mergeCell ref="D1918:D1920"/>
    <mergeCell ref="L1826:L1828"/>
    <mergeCell ref="M1817:M1819"/>
    <mergeCell ref="G1761:G1766"/>
    <mergeCell ref="G1805:G1807"/>
    <mergeCell ref="G1772:G1777"/>
    <mergeCell ref="G1778:G1783"/>
    <mergeCell ref="G1799:G1801"/>
    <mergeCell ref="H1814:H1816"/>
    <mergeCell ref="H1817:H1819"/>
    <mergeCell ref="M1814:M1816"/>
    <mergeCell ref="M1808:M1810"/>
    <mergeCell ref="M1805:M1807"/>
    <mergeCell ref="M1811:M1813"/>
    <mergeCell ref="M1761:M1766"/>
    <mergeCell ref="L1767:L1771"/>
    <mergeCell ref="J1808:J1810"/>
    <mergeCell ref="K1808:K1810"/>
    <mergeCell ref="J1799:J1801"/>
    <mergeCell ref="J1787:J1789"/>
    <mergeCell ref="K1793:K1795"/>
    <mergeCell ref="J1796:J1798"/>
    <mergeCell ref="K1787:K1789"/>
    <mergeCell ref="K1805:K1807"/>
    <mergeCell ref="M1790:M1792"/>
    <mergeCell ref="M1787:M1789"/>
    <mergeCell ref="M1772:M1777"/>
    <mergeCell ref="J1811:J1813"/>
    <mergeCell ref="K1799:K1801"/>
    <mergeCell ref="H1699:H1702"/>
    <mergeCell ref="M1826:M1828"/>
    <mergeCell ref="K1739:K1741"/>
    <mergeCell ref="J1736:J1738"/>
    <mergeCell ref="K1736:K1738"/>
    <mergeCell ref="J1802:J1804"/>
    <mergeCell ref="L1802:L1804"/>
    <mergeCell ref="M1802:M1804"/>
    <mergeCell ref="M1749:M1754"/>
    <mergeCell ref="M1784:M1786"/>
    <mergeCell ref="H1703:H1707"/>
    <mergeCell ref="H1708:H1712"/>
    <mergeCell ref="L1749:L1754"/>
    <mergeCell ref="J1784:J1786"/>
    <mergeCell ref="H1728:H1732"/>
    <mergeCell ref="H1718:H1722"/>
    <mergeCell ref="H1723:H1727"/>
    <mergeCell ref="K1703:K1707"/>
    <mergeCell ref="J1713:J1717"/>
    <mergeCell ref="L1745:L1747"/>
    <mergeCell ref="I1778:I1783"/>
    <mergeCell ref="I1784:I1786"/>
    <mergeCell ref="H1647:H1652"/>
    <mergeCell ref="I1647:I1652"/>
    <mergeCell ref="I1695:I1698"/>
    <mergeCell ref="I1713:I1717"/>
    <mergeCell ref="H1691:H1694"/>
    <mergeCell ref="I1708:I1712"/>
    <mergeCell ref="I1703:I1707"/>
    <mergeCell ref="I1699:I1702"/>
    <mergeCell ref="J1647:J1652"/>
    <mergeCell ref="H1669:H1673"/>
    <mergeCell ref="H1653:H1658"/>
    <mergeCell ref="J1653:J1658"/>
    <mergeCell ref="H1659:H1663"/>
    <mergeCell ref="H1664:H1668"/>
    <mergeCell ref="I1669:I1673"/>
    <mergeCell ref="J1669:J1673"/>
    <mergeCell ref="J1664:J1668"/>
    <mergeCell ref="N1640:N1645"/>
    <mergeCell ref="K1647:K1652"/>
    <mergeCell ref="K1640:K1645"/>
    <mergeCell ref="L1640:L1645"/>
    <mergeCell ref="L1647:L1652"/>
    <mergeCell ref="M1647:M1652"/>
    <mergeCell ref="N1647:N1652"/>
    <mergeCell ref="L1634:L1639"/>
    <mergeCell ref="L1628:L1633"/>
    <mergeCell ref="M1640:M1645"/>
    <mergeCell ref="G1640:G1645"/>
    <mergeCell ref="H1640:H1645"/>
    <mergeCell ref="I1640:I1645"/>
    <mergeCell ref="J1640:J1645"/>
    <mergeCell ref="K1634:K1639"/>
    <mergeCell ref="K1628:K1633"/>
    <mergeCell ref="I1628:I1633"/>
    <mergeCell ref="N1628:N1633"/>
    <mergeCell ref="K1622:K1627"/>
    <mergeCell ref="L1622:L1627"/>
    <mergeCell ref="G1634:G1639"/>
    <mergeCell ref="H1634:H1639"/>
    <mergeCell ref="I1634:I1639"/>
    <mergeCell ref="J1634:J1639"/>
    <mergeCell ref="M1634:M1639"/>
    <mergeCell ref="N1634:N1639"/>
    <mergeCell ref="G1628:G1633"/>
    <mergeCell ref="M1622:M1627"/>
    <mergeCell ref="N1622:N1627"/>
    <mergeCell ref="G1616:G1621"/>
    <mergeCell ref="L1616:L1621"/>
    <mergeCell ref="M1616:M1621"/>
    <mergeCell ref="G1622:G1627"/>
    <mergeCell ref="H1622:H1627"/>
    <mergeCell ref="I1622:I1627"/>
    <mergeCell ref="J1622:J1627"/>
    <mergeCell ref="I1598:I1601"/>
    <mergeCell ref="H1598:H1601"/>
    <mergeCell ref="I1616:I1621"/>
    <mergeCell ref="N1616:N1621"/>
    <mergeCell ref="M1610:M1615"/>
    <mergeCell ref="M1606:M1609"/>
    <mergeCell ref="K1616:K1621"/>
    <mergeCell ref="I1610:I1615"/>
    <mergeCell ref="K1610:K1615"/>
    <mergeCell ref="L1610:L1615"/>
    <mergeCell ref="I1606:I1609"/>
    <mergeCell ref="J1606:J1609"/>
    <mergeCell ref="K1606:K1609"/>
    <mergeCell ref="J1610:J1615"/>
    <mergeCell ref="J1598:J1601"/>
    <mergeCell ref="H1606:H1609"/>
    <mergeCell ref="J1616:J1621"/>
    <mergeCell ref="N1598:N1601"/>
    <mergeCell ref="N1606:N1609"/>
    <mergeCell ref="K1602:K1605"/>
    <mergeCell ref="L1602:L1605"/>
    <mergeCell ref="M1602:M1605"/>
    <mergeCell ref="N1602:N1605"/>
    <mergeCell ref="N1610:N1615"/>
    <mergeCell ref="L1594:L1597"/>
    <mergeCell ref="M1594:M1597"/>
    <mergeCell ref="N1594:N1597"/>
    <mergeCell ref="N1586:N1589"/>
    <mergeCell ref="N1497:N1500"/>
    <mergeCell ref="M1497:M1500"/>
    <mergeCell ref="N1566:N1569"/>
    <mergeCell ref="N1570:N1573"/>
    <mergeCell ref="M1550:M1553"/>
    <mergeCell ref="M1558:M1561"/>
    <mergeCell ref="N1550:N1553"/>
    <mergeCell ref="N1554:N1557"/>
    <mergeCell ref="M1538:M1541"/>
    <mergeCell ref="N1542:N1545"/>
    <mergeCell ref="L1497:L1500"/>
    <mergeCell ref="M1562:M1565"/>
    <mergeCell ref="N1501:N1506"/>
    <mergeCell ref="M1513:M1518"/>
    <mergeCell ref="N1513:N1518"/>
    <mergeCell ref="N1562:N1565"/>
    <mergeCell ref="M1507:M1512"/>
    <mergeCell ref="N1531:N1536"/>
    <mergeCell ref="N1538:N1541"/>
    <mergeCell ref="L1538:L1541"/>
    <mergeCell ref="D1570:D1573"/>
    <mergeCell ref="D1493:D1496"/>
    <mergeCell ref="H1493:H1496"/>
    <mergeCell ref="I1497:I1500"/>
    <mergeCell ref="D1566:D1569"/>
    <mergeCell ref="G1566:G1569"/>
    <mergeCell ref="D1538:D1541"/>
    <mergeCell ref="D1562:D1565"/>
    <mergeCell ref="G1562:G1565"/>
    <mergeCell ref="H1562:H1565"/>
    <mergeCell ref="D1542:D1545"/>
    <mergeCell ref="I1594:I1597"/>
    <mergeCell ref="I1590:I1593"/>
    <mergeCell ref="J1497:J1500"/>
    <mergeCell ref="J1501:J1506"/>
    <mergeCell ref="I1578:I1581"/>
    <mergeCell ref="I1574:I1577"/>
    <mergeCell ref="J1578:J1581"/>
    <mergeCell ref="I1566:I1569"/>
    <mergeCell ref="I1562:I1565"/>
    <mergeCell ref="M1465:M1468"/>
    <mergeCell ref="D1497:D1500"/>
    <mergeCell ref="G1594:G1597"/>
    <mergeCell ref="G1586:G1589"/>
    <mergeCell ref="D1574:D1577"/>
    <mergeCell ref="D1582:D1585"/>
    <mergeCell ref="G1590:G1593"/>
    <mergeCell ref="G1582:G1585"/>
    <mergeCell ref="G1574:G1577"/>
    <mergeCell ref="G1542:G1545"/>
    <mergeCell ref="M1473:M1476"/>
    <mergeCell ref="N1473:N1476"/>
    <mergeCell ref="L1489:L1492"/>
    <mergeCell ref="L1473:L1476"/>
    <mergeCell ref="M1477:M1480"/>
    <mergeCell ref="N1477:N1480"/>
    <mergeCell ref="L1485:L1488"/>
    <mergeCell ref="N1481:N1484"/>
    <mergeCell ref="M1485:M1488"/>
    <mergeCell ref="N1485:N1488"/>
    <mergeCell ref="N1465:N1468"/>
    <mergeCell ref="M1469:M1472"/>
    <mergeCell ref="K1493:K1496"/>
    <mergeCell ref="L1493:L1496"/>
    <mergeCell ref="N1493:N1496"/>
    <mergeCell ref="M1493:M1496"/>
    <mergeCell ref="N1489:N1492"/>
    <mergeCell ref="L1481:L1484"/>
    <mergeCell ref="N1469:N1472"/>
    <mergeCell ref="M1489:M1492"/>
    <mergeCell ref="N1442:N1445"/>
    <mergeCell ref="M1461:M1464"/>
    <mergeCell ref="N1461:N1464"/>
    <mergeCell ref="M1457:M1460"/>
    <mergeCell ref="N1457:N1460"/>
    <mergeCell ref="M1453:M1456"/>
    <mergeCell ref="M1447:M1450"/>
    <mergeCell ref="N1447:N1450"/>
    <mergeCell ref="N1453:N1456"/>
    <mergeCell ref="J1453:J1456"/>
    <mergeCell ref="J1447:J1450"/>
    <mergeCell ref="K1453:K1456"/>
    <mergeCell ref="I1453:I1456"/>
    <mergeCell ref="L1442:L1445"/>
    <mergeCell ref="M1442:M1445"/>
    <mergeCell ref="L1447:L1450"/>
    <mergeCell ref="L1453:L1456"/>
    <mergeCell ref="G1485:G1488"/>
    <mergeCell ref="J1485:J1488"/>
    <mergeCell ref="G1481:G1484"/>
    <mergeCell ref="J1473:J1476"/>
    <mergeCell ref="I1473:I1476"/>
    <mergeCell ref="I1485:I1488"/>
    <mergeCell ref="G1477:G1480"/>
    <mergeCell ref="M1481:M1484"/>
    <mergeCell ref="K1497:K1500"/>
    <mergeCell ref="I1493:I1496"/>
    <mergeCell ref="L1477:L1480"/>
    <mergeCell ref="J1481:J1484"/>
    <mergeCell ref="K1485:K1488"/>
    <mergeCell ref="K1489:K1492"/>
    <mergeCell ref="I1477:I1480"/>
    <mergeCell ref="J1477:J1480"/>
    <mergeCell ref="J1493:J1496"/>
    <mergeCell ref="J1489:J1492"/>
    <mergeCell ref="D1485:D1488"/>
    <mergeCell ref="K1473:K1476"/>
    <mergeCell ref="I1481:I1484"/>
    <mergeCell ref="K1481:K1484"/>
    <mergeCell ref="H1485:H1488"/>
    <mergeCell ref="D1473:D1476"/>
    <mergeCell ref="G1473:G1476"/>
    <mergeCell ref="H1473:H1476"/>
    <mergeCell ref="D1477:D1480"/>
    <mergeCell ref="D1481:D1484"/>
    <mergeCell ref="L1469:L1472"/>
    <mergeCell ref="D1465:D1468"/>
    <mergeCell ref="D1469:D1472"/>
    <mergeCell ref="G1469:G1472"/>
    <mergeCell ref="H1469:H1472"/>
    <mergeCell ref="I1469:I1472"/>
    <mergeCell ref="G1465:G1468"/>
    <mergeCell ref="I1465:I1468"/>
    <mergeCell ref="J1465:J1468"/>
    <mergeCell ref="L1465:L1468"/>
    <mergeCell ref="D1457:D1460"/>
    <mergeCell ref="G1457:G1460"/>
    <mergeCell ref="D1461:D1464"/>
    <mergeCell ref="G1461:G1464"/>
    <mergeCell ref="L1457:L1460"/>
    <mergeCell ref="J1457:J1460"/>
    <mergeCell ref="L1461:L1464"/>
    <mergeCell ref="K1461:K1464"/>
    <mergeCell ref="K1465:K1468"/>
    <mergeCell ref="D1489:D1492"/>
    <mergeCell ref="K1513:K1518"/>
    <mergeCell ref="J1525:J1530"/>
    <mergeCell ref="L1525:L1530"/>
    <mergeCell ref="K1525:K1530"/>
    <mergeCell ref="J1519:J1524"/>
    <mergeCell ref="K1507:K1512"/>
    <mergeCell ref="L1507:L1512"/>
    <mergeCell ref="K1519:K1524"/>
    <mergeCell ref="L1519:L1524"/>
    <mergeCell ref="N1507:N1512"/>
    <mergeCell ref="N1525:N1530"/>
    <mergeCell ref="M1519:M1524"/>
    <mergeCell ref="N1519:N1524"/>
    <mergeCell ref="L1501:L1506"/>
    <mergeCell ref="M1501:M1506"/>
    <mergeCell ref="D1453:D1456"/>
    <mergeCell ref="I1507:I1512"/>
    <mergeCell ref="D1501:D1506"/>
    <mergeCell ref="D1507:D1512"/>
    <mergeCell ref="G1501:G1506"/>
    <mergeCell ref="H1501:H1506"/>
    <mergeCell ref="G1507:G1512"/>
    <mergeCell ref="H1465:H1468"/>
    <mergeCell ref="G1497:G1500"/>
    <mergeCell ref="J1566:J1569"/>
    <mergeCell ref="K1566:K1569"/>
    <mergeCell ref="J1562:J1565"/>
    <mergeCell ref="K1562:K1565"/>
    <mergeCell ref="H1525:H1530"/>
    <mergeCell ref="H1513:H1518"/>
    <mergeCell ref="H1542:H1545"/>
    <mergeCell ref="H1566:H1569"/>
    <mergeCell ref="K1501:K1506"/>
    <mergeCell ref="H1507:H1512"/>
    <mergeCell ref="L1513:L1518"/>
    <mergeCell ref="M1525:M1530"/>
    <mergeCell ref="I1558:I1561"/>
    <mergeCell ref="I1513:I1518"/>
    <mergeCell ref="H1538:H1541"/>
    <mergeCell ref="K1531:K1536"/>
    <mergeCell ref="M1531:M1536"/>
    <mergeCell ref="L1531:L1536"/>
    <mergeCell ref="H1574:H1577"/>
    <mergeCell ref="H1570:H1573"/>
    <mergeCell ref="I1570:I1573"/>
    <mergeCell ref="I1582:I1585"/>
    <mergeCell ref="H1590:H1593"/>
    <mergeCell ref="H1616:H1621"/>
    <mergeCell ref="H1594:H1597"/>
    <mergeCell ref="H1610:H1615"/>
    <mergeCell ref="D1598:D1601"/>
    <mergeCell ref="D1590:D1593"/>
    <mergeCell ref="D1594:D1597"/>
    <mergeCell ref="G1610:G1615"/>
    <mergeCell ref="D1602:D1605"/>
    <mergeCell ref="G1578:G1581"/>
    <mergeCell ref="H1578:H1581"/>
    <mergeCell ref="D1586:D1589"/>
    <mergeCell ref="D1578:D1581"/>
    <mergeCell ref="H1582:H1585"/>
    <mergeCell ref="H1586:H1589"/>
    <mergeCell ref="H1489:H1492"/>
    <mergeCell ref="I1428:I1431"/>
    <mergeCell ref="I1417:I1419"/>
    <mergeCell ref="H1333:H1336"/>
    <mergeCell ref="I1461:I1464"/>
    <mergeCell ref="H1345:H1347"/>
    <mergeCell ref="I1359:I1362"/>
    <mergeCell ref="H1348:H1350"/>
    <mergeCell ref="I1348:I1350"/>
    <mergeCell ref="I1399:I1403"/>
    <mergeCell ref="G1531:G1536"/>
    <mergeCell ref="H1531:H1536"/>
    <mergeCell ref="I1531:I1536"/>
    <mergeCell ref="G1489:G1492"/>
    <mergeCell ref="G1525:G1530"/>
    <mergeCell ref="I1489:I1492"/>
    <mergeCell ref="H1519:H1524"/>
    <mergeCell ref="I1519:I1524"/>
    <mergeCell ref="I1501:I1506"/>
    <mergeCell ref="H1497:H1500"/>
    <mergeCell ref="K1469:K1472"/>
    <mergeCell ref="K1457:K1460"/>
    <mergeCell ref="K1477:K1480"/>
    <mergeCell ref="H1457:H1460"/>
    <mergeCell ref="I1457:I1460"/>
    <mergeCell ref="H1461:H1464"/>
    <mergeCell ref="H1477:H1480"/>
    <mergeCell ref="J1461:J1464"/>
    <mergeCell ref="M1252:M1257"/>
    <mergeCell ref="N1228:N1233"/>
    <mergeCell ref="M1304:M1306"/>
    <mergeCell ref="M1228:M1233"/>
    <mergeCell ref="N1252:N1257"/>
    <mergeCell ref="N1258:N1263"/>
    <mergeCell ref="M1270:M1275"/>
    <mergeCell ref="N1288:N1293"/>
    <mergeCell ref="M1246:M1251"/>
    <mergeCell ref="H1210:H1215"/>
    <mergeCell ref="I1210:I1215"/>
    <mergeCell ref="J1204:J1209"/>
    <mergeCell ref="J1304:J1306"/>
    <mergeCell ref="J1210:J1215"/>
    <mergeCell ref="H1216:H1221"/>
    <mergeCell ref="I1216:I1221"/>
    <mergeCell ref="J1216:J1221"/>
    <mergeCell ref="J1295:J1299"/>
    <mergeCell ref="H1295:H1299"/>
    <mergeCell ref="H1204:H1209"/>
    <mergeCell ref="I1204:I1209"/>
    <mergeCell ref="M1181:M1186"/>
    <mergeCell ref="N1181:N1186"/>
    <mergeCell ref="K1187:K1192"/>
    <mergeCell ref="L1187:L1192"/>
    <mergeCell ref="M1187:M1192"/>
    <mergeCell ref="N1187:N1192"/>
    <mergeCell ref="K1181:K1186"/>
    <mergeCell ref="L1181:L1186"/>
    <mergeCell ref="J1187:J1192"/>
    <mergeCell ref="H1181:H1186"/>
    <mergeCell ref="I1181:I1186"/>
    <mergeCell ref="J1181:J1186"/>
    <mergeCell ref="H1187:H1192"/>
    <mergeCell ref="I1187:I1192"/>
    <mergeCell ref="I1176:I1180"/>
    <mergeCell ref="J1176:J1180"/>
    <mergeCell ref="K1176:K1180"/>
    <mergeCell ref="L1176:L1180"/>
    <mergeCell ref="I1166:I1170"/>
    <mergeCell ref="J1166:J1170"/>
    <mergeCell ref="I1171:I1175"/>
    <mergeCell ref="G1171:G1175"/>
    <mergeCell ref="H1171:H1175"/>
    <mergeCell ref="H1166:H1170"/>
    <mergeCell ref="J1171:J1175"/>
    <mergeCell ref="J1160:J1165"/>
    <mergeCell ref="M1154:M1159"/>
    <mergeCell ref="K1160:K1165"/>
    <mergeCell ref="L1160:L1165"/>
    <mergeCell ref="M1160:M1165"/>
    <mergeCell ref="L1148:L1153"/>
    <mergeCell ref="I1154:I1159"/>
    <mergeCell ref="K1154:K1159"/>
    <mergeCell ref="L1154:L1159"/>
    <mergeCell ref="J1154:J1159"/>
    <mergeCell ref="I1160:I1165"/>
    <mergeCell ref="N1142:N1147"/>
    <mergeCell ref="K1142:K1147"/>
    <mergeCell ref="L1142:L1147"/>
    <mergeCell ref="K1148:K1153"/>
    <mergeCell ref="M1148:M1153"/>
    <mergeCell ref="M1142:M1147"/>
    <mergeCell ref="N1148:N1153"/>
    <mergeCell ref="J1142:J1147"/>
    <mergeCell ref="J1148:J1153"/>
    <mergeCell ref="N1136:N1141"/>
    <mergeCell ref="K1130:K1135"/>
    <mergeCell ref="L1130:L1135"/>
    <mergeCell ref="J1130:J1135"/>
    <mergeCell ref="J1136:J1141"/>
    <mergeCell ref="M1130:M1135"/>
    <mergeCell ref="N1130:N1135"/>
    <mergeCell ref="K1136:K1141"/>
    <mergeCell ref="D1154:D1159"/>
    <mergeCell ref="D1160:D1165"/>
    <mergeCell ref="I1124:I1129"/>
    <mergeCell ref="J1124:J1129"/>
    <mergeCell ref="G1124:G1129"/>
    <mergeCell ref="D1130:D1135"/>
    <mergeCell ref="D1136:D1141"/>
    <mergeCell ref="D1142:D1147"/>
    <mergeCell ref="I1136:I1141"/>
    <mergeCell ref="H1130:H1135"/>
    <mergeCell ref="I1112:I1117"/>
    <mergeCell ref="K1106:K1111"/>
    <mergeCell ref="L1106:L1111"/>
    <mergeCell ref="N1112:N1117"/>
    <mergeCell ref="N1106:N1111"/>
    <mergeCell ref="L1124:L1129"/>
    <mergeCell ref="M1124:M1129"/>
    <mergeCell ref="N1124:N1129"/>
    <mergeCell ref="M1118:M1123"/>
    <mergeCell ref="N1118:N1123"/>
    <mergeCell ref="L1118:L1123"/>
    <mergeCell ref="K1085:K1090"/>
    <mergeCell ref="N1094:N1099"/>
    <mergeCell ref="L1100:L1105"/>
    <mergeCell ref="M1100:M1105"/>
    <mergeCell ref="N1100:N1105"/>
    <mergeCell ref="L1094:L1099"/>
    <mergeCell ref="M1094:M1099"/>
    <mergeCell ref="J1118:J1123"/>
    <mergeCell ref="M1106:M1111"/>
    <mergeCell ref="K1112:K1117"/>
    <mergeCell ref="L1112:L1117"/>
    <mergeCell ref="J1106:J1111"/>
    <mergeCell ref="K1100:K1105"/>
    <mergeCell ref="K1094:K1099"/>
    <mergeCell ref="L1085:L1090"/>
    <mergeCell ref="H1055:H1060"/>
    <mergeCell ref="D1055:D1060"/>
    <mergeCell ref="D1061:D1066"/>
    <mergeCell ref="D1067:D1072"/>
    <mergeCell ref="G1067:G1072"/>
    <mergeCell ref="G1061:G1066"/>
    <mergeCell ref="J1085:J1090"/>
    <mergeCell ref="I1085:I1090"/>
    <mergeCell ref="K1055:K1060"/>
    <mergeCell ref="L1055:L1060"/>
    <mergeCell ref="G1073:G1078"/>
    <mergeCell ref="H1073:H1078"/>
    <mergeCell ref="G1055:G1060"/>
    <mergeCell ref="K1073:K1078"/>
    <mergeCell ref="L1073:L1078"/>
    <mergeCell ref="L1067:L1072"/>
    <mergeCell ref="M1073:M1078"/>
    <mergeCell ref="N1073:N1078"/>
    <mergeCell ref="M1067:M1072"/>
    <mergeCell ref="J1079:J1084"/>
    <mergeCell ref="K1079:K1084"/>
    <mergeCell ref="L1079:L1084"/>
    <mergeCell ref="L1061:L1066"/>
    <mergeCell ref="M1061:M1066"/>
    <mergeCell ref="N1055:N1060"/>
    <mergeCell ref="M1085:M1090"/>
    <mergeCell ref="N1085:N1090"/>
    <mergeCell ref="N1079:N1084"/>
    <mergeCell ref="M1055:M1060"/>
    <mergeCell ref="M1079:M1084"/>
    <mergeCell ref="N1061:N1066"/>
    <mergeCell ref="N1067:N1072"/>
    <mergeCell ref="N966:N971"/>
    <mergeCell ref="M960:M965"/>
    <mergeCell ref="M966:M971"/>
    <mergeCell ref="N960:N965"/>
    <mergeCell ref="H1061:H1066"/>
    <mergeCell ref="K1067:K1072"/>
    <mergeCell ref="J1067:J1072"/>
    <mergeCell ref="J1073:J1078"/>
    <mergeCell ref="I1073:I1078"/>
    <mergeCell ref="K1061:K1066"/>
    <mergeCell ref="N948:N953"/>
    <mergeCell ref="I954:I959"/>
    <mergeCell ref="J954:J959"/>
    <mergeCell ref="I948:I953"/>
    <mergeCell ref="J948:J953"/>
    <mergeCell ref="K948:K953"/>
    <mergeCell ref="L948:L953"/>
    <mergeCell ref="K954:K959"/>
    <mergeCell ref="L954:L959"/>
    <mergeCell ref="N954:N959"/>
    <mergeCell ref="M954:M959"/>
    <mergeCell ref="M948:M953"/>
    <mergeCell ref="M942:M947"/>
    <mergeCell ref="L942:L947"/>
    <mergeCell ref="H862:H867"/>
    <mergeCell ref="I862:I867"/>
    <mergeCell ref="H868:H872"/>
    <mergeCell ref="H856:H861"/>
    <mergeCell ref="B862:B867"/>
    <mergeCell ref="B911:B916"/>
    <mergeCell ref="D862:D867"/>
    <mergeCell ref="D906:D910"/>
    <mergeCell ref="D896:D900"/>
    <mergeCell ref="C862:C880"/>
    <mergeCell ref="D911:D916"/>
    <mergeCell ref="C881:C905"/>
    <mergeCell ref="N598:N600"/>
    <mergeCell ref="H844:H849"/>
    <mergeCell ref="G856:G861"/>
    <mergeCell ref="L850:L855"/>
    <mergeCell ref="J856:J861"/>
    <mergeCell ref="K856:K861"/>
    <mergeCell ref="L856:L861"/>
    <mergeCell ref="G850:G855"/>
    <mergeCell ref="I844:I849"/>
    <mergeCell ref="I856:I861"/>
    <mergeCell ref="K844:K849"/>
    <mergeCell ref="L844:L849"/>
    <mergeCell ref="M844:M849"/>
    <mergeCell ref="G758:G760"/>
    <mergeCell ref="L837:L842"/>
    <mergeCell ref="M769:M773"/>
    <mergeCell ref="M799:M803"/>
    <mergeCell ref="I837:I842"/>
    <mergeCell ref="L769:L773"/>
    <mergeCell ref="M825:M830"/>
    <mergeCell ref="N595:N597"/>
    <mergeCell ref="M598:M600"/>
    <mergeCell ref="L746:L748"/>
    <mergeCell ref="M746:M748"/>
    <mergeCell ref="N746:N748"/>
    <mergeCell ref="N691:N694"/>
    <mergeCell ref="M691:M694"/>
    <mergeCell ref="L691:L694"/>
    <mergeCell ref="M695:M698"/>
    <mergeCell ref="L711:L714"/>
    <mergeCell ref="N758:N760"/>
    <mergeCell ref="H850:H855"/>
    <mergeCell ref="K850:K855"/>
    <mergeCell ref="M831:M836"/>
    <mergeCell ref="N850:N855"/>
    <mergeCell ref="N837:N842"/>
    <mergeCell ref="H758:H760"/>
    <mergeCell ref="I758:I760"/>
    <mergeCell ref="J844:J849"/>
    <mergeCell ref="M761:M763"/>
    <mergeCell ref="N825:N830"/>
    <mergeCell ref="N831:N836"/>
    <mergeCell ref="L831:L836"/>
    <mergeCell ref="I825:I830"/>
    <mergeCell ref="L825:L830"/>
    <mergeCell ref="J825:J830"/>
    <mergeCell ref="J711:J714"/>
    <mergeCell ref="K711:K714"/>
    <mergeCell ref="I725:I727"/>
    <mergeCell ref="K728:K730"/>
    <mergeCell ref="I722:I724"/>
    <mergeCell ref="J722:J724"/>
    <mergeCell ref="N1318:N1321"/>
    <mergeCell ref="J831:J836"/>
    <mergeCell ref="N844:N849"/>
    <mergeCell ref="J1112:J1117"/>
    <mergeCell ref="M1295:M1299"/>
    <mergeCell ref="N1295:N1299"/>
    <mergeCell ref="N868:N872"/>
    <mergeCell ref="J862:J867"/>
    <mergeCell ref="K862:K867"/>
    <mergeCell ref="J984:J989"/>
    <mergeCell ref="M711:M714"/>
    <mergeCell ref="I850:I855"/>
    <mergeCell ref="J850:J855"/>
    <mergeCell ref="N856:N861"/>
    <mergeCell ref="M850:M855"/>
    <mergeCell ref="M856:M861"/>
    <mergeCell ref="M728:M730"/>
    <mergeCell ref="M837:M842"/>
    <mergeCell ref="I719:I721"/>
    <mergeCell ref="L722:L724"/>
    <mergeCell ref="J1348:J1350"/>
    <mergeCell ref="I1345:I1347"/>
    <mergeCell ref="I873:I877"/>
    <mergeCell ref="J1345:J1347"/>
    <mergeCell ref="J1341:J1344"/>
    <mergeCell ref="I996:I1001"/>
    <mergeCell ref="I1055:I1060"/>
    <mergeCell ref="J1337:J1340"/>
    <mergeCell ref="I1333:I1336"/>
    <mergeCell ref="J972:J977"/>
    <mergeCell ref="I930:I935"/>
    <mergeCell ref="J1329:J1332"/>
    <mergeCell ref="I966:I971"/>
    <mergeCell ref="J966:J971"/>
    <mergeCell ref="J942:J947"/>
    <mergeCell ref="I1118:I1123"/>
    <mergeCell ref="I1130:I1135"/>
    <mergeCell ref="I1148:I1153"/>
    <mergeCell ref="J1094:J1099"/>
    <mergeCell ref="I1142:I1147"/>
    <mergeCell ref="J1100:J1105"/>
    <mergeCell ref="I1100:I1105"/>
    <mergeCell ref="J1050:J1054"/>
    <mergeCell ref="I1447:I1450"/>
    <mergeCell ref="J1442:J1445"/>
    <mergeCell ref="J1413:J1416"/>
    <mergeCell ref="I1404:I1408"/>
    <mergeCell ref="J1061:J1066"/>
    <mergeCell ref="J1252:J1257"/>
    <mergeCell ref="J1276:J1281"/>
    <mergeCell ref="J1307:J1310"/>
    <mergeCell ref="I1311:I1314"/>
    <mergeCell ref="I1315:I1317"/>
    <mergeCell ref="J1322:J1324"/>
    <mergeCell ref="H1311:H1314"/>
    <mergeCell ref="J1325:J1328"/>
    <mergeCell ref="I1329:I1332"/>
    <mergeCell ref="H1325:H1328"/>
    <mergeCell ref="J1315:J1317"/>
    <mergeCell ref="H1315:H1317"/>
    <mergeCell ref="I1325:I1328"/>
    <mergeCell ref="H1329:H1332"/>
    <mergeCell ref="G1307:G1310"/>
    <mergeCell ref="J1417:J1419"/>
    <mergeCell ref="G1282:G1287"/>
    <mergeCell ref="I1409:I1412"/>
    <mergeCell ref="J1409:J1412"/>
    <mergeCell ref="J1404:J1408"/>
    <mergeCell ref="I1413:I1416"/>
    <mergeCell ref="J1333:J1336"/>
    <mergeCell ref="I1337:I1340"/>
    <mergeCell ref="H1307:H1310"/>
    <mergeCell ref="G1315:G1317"/>
    <mergeCell ref="H1148:H1153"/>
    <mergeCell ref="G1176:G1180"/>
    <mergeCell ref="H1176:H1180"/>
    <mergeCell ref="H1154:H1159"/>
    <mergeCell ref="G1154:G1159"/>
    <mergeCell ref="G1148:G1153"/>
    <mergeCell ref="H1276:H1281"/>
    <mergeCell ref="G1160:G1165"/>
    <mergeCell ref="H1160:H1165"/>
    <mergeCell ref="G1341:G1344"/>
    <mergeCell ref="G1130:G1135"/>
    <mergeCell ref="G1181:G1186"/>
    <mergeCell ref="G1329:G1332"/>
    <mergeCell ref="G1325:G1328"/>
    <mergeCell ref="G1318:G1321"/>
    <mergeCell ref="G1333:G1336"/>
    <mergeCell ref="G1337:G1340"/>
    <mergeCell ref="G1234:G1239"/>
    <mergeCell ref="G1246:G1251"/>
    <mergeCell ref="D1112:D1117"/>
    <mergeCell ref="H1124:H1129"/>
    <mergeCell ref="G1118:G1123"/>
    <mergeCell ref="D1118:D1123"/>
    <mergeCell ref="H1118:H1123"/>
    <mergeCell ref="G1252:G1257"/>
    <mergeCell ref="H1270:H1275"/>
    <mergeCell ref="G1270:G1275"/>
    <mergeCell ref="G1276:G1281"/>
    <mergeCell ref="H1112:H1117"/>
    <mergeCell ref="G1112:G1117"/>
    <mergeCell ref="H1085:H1090"/>
    <mergeCell ref="G1240:G1245"/>
    <mergeCell ref="G1142:G1147"/>
    <mergeCell ref="H1142:H1147"/>
    <mergeCell ref="G1136:G1141"/>
    <mergeCell ref="H1136:H1141"/>
    <mergeCell ref="G1166:G1170"/>
    <mergeCell ref="G1085:G1090"/>
    <mergeCell ref="J707:J710"/>
    <mergeCell ref="K707:K710"/>
    <mergeCell ref="I1106:I1111"/>
    <mergeCell ref="G1100:G1105"/>
    <mergeCell ref="H1100:H1105"/>
    <mergeCell ref="I1079:I1084"/>
    <mergeCell ref="H1106:H1111"/>
    <mergeCell ref="G1106:G1111"/>
    <mergeCell ref="G1094:G1099"/>
    <mergeCell ref="H1094:H1099"/>
    <mergeCell ref="H873:H877"/>
    <mergeCell ref="I1038:I1043"/>
    <mergeCell ref="I990:I995"/>
    <mergeCell ref="H1038:H1043"/>
    <mergeCell ref="H1002:H1007"/>
    <mergeCell ref="H990:H995"/>
    <mergeCell ref="I886:I890"/>
    <mergeCell ref="I972:I977"/>
    <mergeCell ref="H881:H885"/>
    <mergeCell ref="I881:I885"/>
    <mergeCell ref="K691:K694"/>
    <mergeCell ref="J703:J706"/>
    <mergeCell ref="K703:K706"/>
    <mergeCell ref="K699:K702"/>
    <mergeCell ref="J695:J698"/>
    <mergeCell ref="N695:N698"/>
    <mergeCell ref="L699:L702"/>
    <mergeCell ref="N699:N702"/>
    <mergeCell ref="M699:M702"/>
    <mergeCell ref="L695:L698"/>
    <mergeCell ref="L703:L706"/>
    <mergeCell ref="M703:M706"/>
    <mergeCell ref="N711:N714"/>
    <mergeCell ref="A825:A830"/>
    <mergeCell ref="K825:K830"/>
    <mergeCell ref="G825:G830"/>
    <mergeCell ref="H825:H830"/>
    <mergeCell ref="G711:G714"/>
    <mergeCell ref="D716:D718"/>
    <mergeCell ref="H707:H710"/>
    <mergeCell ref="H831:H836"/>
    <mergeCell ref="G831:G836"/>
    <mergeCell ref="J837:J842"/>
    <mergeCell ref="K837:K842"/>
    <mergeCell ref="G837:G842"/>
    <mergeCell ref="H837:H842"/>
    <mergeCell ref="K831:K836"/>
    <mergeCell ref="M676:M678"/>
    <mergeCell ref="N676:N678"/>
    <mergeCell ref="K679:K681"/>
    <mergeCell ref="K682:K684"/>
    <mergeCell ref="K676:K678"/>
    <mergeCell ref="L676:L678"/>
    <mergeCell ref="N679:N681"/>
    <mergeCell ref="L679:L681"/>
    <mergeCell ref="M679:M681"/>
    <mergeCell ref="N670:N672"/>
    <mergeCell ref="K673:K675"/>
    <mergeCell ref="L673:L675"/>
    <mergeCell ref="J673:J675"/>
    <mergeCell ref="M673:M675"/>
    <mergeCell ref="N673:N675"/>
    <mergeCell ref="J670:J672"/>
    <mergeCell ref="K670:K672"/>
    <mergeCell ref="L670:L672"/>
    <mergeCell ref="M670:M672"/>
    <mergeCell ref="I685:I687"/>
    <mergeCell ref="H679:H681"/>
    <mergeCell ref="G676:G678"/>
    <mergeCell ref="I679:I681"/>
    <mergeCell ref="I682:I684"/>
    <mergeCell ref="H682:H684"/>
    <mergeCell ref="H676:H678"/>
    <mergeCell ref="I676:I678"/>
    <mergeCell ref="H685:H687"/>
    <mergeCell ref="H673:H675"/>
    <mergeCell ref="I673:I675"/>
    <mergeCell ref="G679:G681"/>
    <mergeCell ref="J676:J678"/>
    <mergeCell ref="J685:J687"/>
    <mergeCell ref="K685:K687"/>
    <mergeCell ref="J682:J684"/>
    <mergeCell ref="N682:N684"/>
    <mergeCell ref="M682:M684"/>
    <mergeCell ref="M685:M687"/>
    <mergeCell ref="L682:L684"/>
    <mergeCell ref="I699:I702"/>
    <mergeCell ref="J699:J702"/>
    <mergeCell ref="I691:I694"/>
    <mergeCell ref="J691:J694"/>
    <mergeCell ref="B570:B574"/>
    <mergeCell ref="N703:N706"/>
    <mergeCell ref="L707:L710"/>
    <mergeCell ref="M707:M710"/>
    <mergeCell ref="N707:N710"/>
    <mergeCell ref="G699:G702"/>
    <mergeCell ref="J679:J681"/>
    <mergeCell ref="N685:N687"/>
    <mergeCell ref="L685:L687"/>
    <mergeCell ref="K695:K698"/>
    <mergeCell ref="N550:N551"/>
    <mergeCell ref="A557:N557"/>
    <mergeCell ref="H550:H551"/>
    <mergeCell ref="I550:I551"/>
    <mergeCell ref="J550:J551"/>
    <mergeCell ref="K550:K551"/>
    <mergeCell ref="M550:M551"/>
    <mergeCell ref="G550:G551"/>
    <mergeCell ref="L550:L551"/>
    <mergeCell ref="D550:D551"/>
    <mergeCell ref="D589:D591"/>
    <mergeCell ref="D595:D597"/>
    <mergeCell ref="G595:G597"/>
    <mergeCell ref="I703:I706"/>
    <mergeCell ref="H703:H706"/>
    <mergeCell ref="I695:I698"/>
    <mergeCell ref="H670:H672"/>
    <mergeCell ref="I670:I672"/>
    <mergeCell ref="G682:G684"/>
    <mergeCell ref="G673:G675"/>
    <mergeCell ref="C570:C574"/>
    <mergeCell ref="C550:C556"/>
    <mergeCell ref="C584:C587"/>
    <mergeCell ref="C589:C601"/>
    <mergeCell ref="C576:C580"/>
    <mergeCell ref="F550:F551"/>
    <mergeCell ref="E550:E551"/>
    <mergeCell ref="A521:A526"/>
    <mergeCell ref="B521:B526"/>
    <mergeCell ref="C521:C526"/>
    <mergeCell ref="C536:C538"/>
    <mergeCell ref="A536:A538"/>
    <mergeCell ref="A546:A549"/>
    <mergeCell ref="B546:B549"/>
    <mergeCell ref="C546:C549"/>
    <mergeCell ref="C542:C544"/>
    <mergeCell ref="A510:A513"/>
    <mergeCell ref="B510:B513"/>
    <mergeCell ref="C510:C513"/>
    <mergeCell ref="A514:A519"/>
    <mergeCell ref="B514:B519"/>
    <mergeCell ref="C514:C519"/>
    <mergeCell ref="B507:B509"/>
    <mergeCell ref="C507:C509"/>
    <mergeCell ref="A353:A355"/>
    <mergeCell ref="C353:C355"/>
    <mergeCell ref="A392:A401"/>
    <mergeCell ref="B455:B460"/>
    <mergeCell ref="B461:B469"/>
    <mergeCell ref="A360:A364"/>
    <mergeCell ref="B402:B407"/>
    <mergeCell ref="C360:C364"/>
    <mergeCell ref="B310:B315"/>
    <mergeCell ref="C310:C315"/>
    <mergeCell ref="A306:A309"/>
    <mergeCell ref="B306:B309"/>
    <mergeCell ref="B333:B340"/>
    <mergeCell ref="C333:C340"/>
    <mergeCell ref="A326:A332"/>
    <mergeCell ref="B316:B321"/>
    <mergeCell ref="C316:C321"/>
    <mergeCell ref="B322:B325"/>
    <mergeCell ref="C322:C325"/>
    <mergeCell ref="C372:C377"/>
    <mergeCell ref="B356:B359"/>
    <mergeCell ref="C356:C359"/>
    <mergeCell ref="A366:A371"/>
    <mergeCell ref="B366:B371"/>
    <mergeCell ref="C366:C371"/>
    <mergeCell ref="C530:C532"/>
    <mergeCell ref="C533:C535"/>
    <mergeCell ref="C527:C529"/>
    <mergeCell ref="C384:C386"/>
    <mergeCell ref="C393:C395"/>
    <mergeCell ref="C413:C418"/>
    <mergeCell ref="C504:C506"/>
    <mergeCell ref="C388:C391"/>
    <mergeCell ref="B584:B587"/>
    <mergeCell ref="B378:B383"/>
    <mergeCell ref="C378:C383"/>
    <mergeCell ref="C396:C401"/>
    <mergeCell ref="C402:C406"/>
    <mergeCell ref="C464:C469"/>
    <mergeCell ref="C461:C463"/>
    <mergeCell ref="A500:N500"/>
    <mergeCell ref="C501:C503"/>
    <mergeCell ref="C446:C451"/>
    <mergeCell ref="C452:C454"/>
    <mergeCell ref="A455:A460"/>
    <mergeCell ref="B421:B427"/>
    <mergeCell ref="C422:C427"/>
    <mergeCell ref="C431:C436"/>
    <mergeCell ref="A428:A429"/>
    <mergeCell ref="A431:A436"/>
    <mergeCell ref="B431:B436"/>
    <mergeCell ref="A446:A454"/>
    <mergeCell ref="A421:A427"/>
    <mergeCell ref="D484:D486"/>
    <mergeCell ref="D490:D492"/>
    <mergeCell ref="D493:D495"/>
    <mergeCell ref="D487:D489"/>
    <mergeCell ref="J487:J489"/>
    <mergeCell ref="K487:K489"/>
    <mergeCell ref="J484:J486"/>
    <mergeCell ref="L487:L489"/>
    <mergeCell ref="L484:L486"/>
    <mergeCell ref="N496:N498"/>
    <mergeCell ref="M493:M495"/>
    <mergeCell ref="N493:N495"/>
    <mergeCell ref="M490:M492"/>
    <mergeCell ref="M496:M498"/>
    <mergeCell ref="N484:N486"/>
    <mergeCell ref="N487:N489"/>
    <mergeCell ref="M487:M489"/>
    <mergeCell ref="M484:M486"/>
    <mergeCell ref="B501:B503"/>
    <mergeCell ref="B504:B506"/>
    <mergeCell ref="A501:A503"/>
    <mergeCell ref="A504:A506"/>
    <mergeCell ref="L496:L498"/>
    <mergeCell ref="K496:K498"/>
    <mergeCell ref="D496:D498"/>
    <mergeCell ref="H496:H498"/>
    <mergeCell ref="J496:J498"/>
    <mergeCell ref="G496:G498"/>
    <mergeCell ref="I496:I498"/>
    <mergeCell ref="C292:C297"/>
    <mergeCell ref="B292:B297"/>
    <mergeCell ref="G493:G495"/>
    <mergeCell ref="H493:H495"/>
    <mergeCell ref="C298:C303"/>
    <mergeCell ref="B298:B303"/>
    <mergeCell ref="A304:N304"/>
    <mergeCell ref="I493:I495"/>
    <mergeCell ref="N490:N492"/>
    <mergeCell ref="B388:B391"/>
    <mergeCell ref="L493:L495"/>
    <mergeCell ref="G490:G492"/>
    <mergeCell ref="H490:H492"/>
    <mergeCell ref="I490:I492"/>
    <mergeCell ref="J490:J492"/>
    <mergeCell ref="K490:K492"/>
    <mergeCell ref="J493:J495"/>
    <mergeCell ref="L490:L492"/>
    <mergeCell ref="C268:C273"/>
    <mergeCell ref="A256:A261"/>
    <mergeCell ref="A250:A255"/>
    <mergeCell ref="K493:K495"/>
    <mergeCell ref="G487:G489"/>
    <mergeCell ref="K484:K486"/>
    <mergeCell ref="A440:A443"/>
    <mergeCell ref="B440:B443"/>
    <mergeCell ref="C440:C443"/>
    <mergeCell ref="C455:C460"/>
    <mergeCell ref="C256:C261"/>
    <mergeCell ref="G243:G245"/>
    <mergeCell ref="H243:H245"/>
    <mergeCell ref="B250:B255"/>
    <mergeCell ref="C250:C255"/>
    <mergeCell ref="B237:B248"/>
    <mergeCell ref="G240:G242"/>
    <mergeCell ref="G237:G239"/>
    <mergeCell ref="H237:H239"/>
    <mergeCell ref="L237:L239"/>
    <mergeCell ref="K240:K242"/>
    <mergeCell ref="K237:K239"/>
    <mergeCell ref="M240:M242"/>
    <mergeCell ref="N240:N242"/>
    <mergeCell ref="M243:M245"/>
    <mergeCell ref="N243:N245"/>
    <mergeCell ref="I111:I113"/>
    <mergeCell ref="I240:I242"/>
    <mergeCell ref="J240:J242"/>
    <mergeCell ref="A151:N151"/>
    <mergeCell ref="N237:N239"/>
    <mergeCell ref="C111:C126"/>
    <mergeCell ref="H120:H122"/>
    <mergeCell ref="I102:I104"/>
    <mergeCell ref="I105:I107"/>
    <mergeCell ref="J105:J107"/>
    <mergeCell ref="I108:I110"/>
    <mergeCell ref="J108:J110"/>
    <mergeCell ref="N93:N95"/>
    <mergeCell ref="K99:K101"/>
    <mergeCell ref="N78:N80"/>
    <mergeCell ref="G78:G80"/>
    <mergeCell ref="H78:H80"/>
    <mergeCell ref="I78:I80"/>
    <mergeCell ref="J78:J80"/>
    <mergeCell ref="K78:K80"/>
    <mergeCell ref="L78:L80"/>
    <mergeCell ref="M78:M80"/>
    <mergeCell ref="N69:N71"/>
    <mergeCell ref="K72:K74"/>
    <mergeCell ref="L72:L74"/>
    <mergeCell ref="M72:M74"/>
    <mergeCell ref="N72:N74"/>
    <mergeCell ref="N75:N77"/>
    <mergeCell ref="M75:M77"/>
    <mergeCell ref="J75:J77"/>
    <mergeCell ref="H75:H77"/>
    <mergeCell ref="I75:I77"/>
    <mergeCell ref="K75:K77"/>
    <mergeCell ref="L75:L77"/>
    <mergeCell ref="J99:J101"/>
    <mergeCell ref="M69:M71"/>
    <mergeCell ref="N63:N65"/>
    <mergeCell ref="G66:G68"/>
    <mergeCell ref="H66:H68"/>
    <mergeCell ref="I66:I68"/>
    <mergeCell ref="J66:J68"/>
    <mergeCell ref="K66:K68"/>
    <mergeCell ref="L66:L68"/>
    <mergeCell ref="M66:M68"/>
    <mergeCell ref="N66:N68"/>
    <mergeCell ref="J63:J65"/>
    <mergeCell ref="M63:M65"/>
    <mergeCell ref="A63:A80"/>
    <mergeCell ref="G63:G65"/>
    <mergeCell ref="H63:H65"/>
    <mergeCell ref="I63:I65"/>
    <mergeCell ref="G69:G71"/>
    <mergeCell ref="H69:H71"/>
    <mergeCell ref="I69:I71"/>
    <mergeCell ref="J69:J71"/>
    <mergeCell ref="K69:K71"/>
    <mergeCell ref="C63:C80"/>
    <mergeCell ref="B63:B80"/>
    <mergeCell ref="D63:D65"/>
    <mergeCell ref="D66:D68"/>
    <mergeCell ref="D69:D71"/>
    <mergeCell ref="D72:D74"/>
    <mergeCell ref="D75:D77"/>
    <mergeCell ref="D78:D80"/>
    <mergeCell ref="G51:G53"/>
    <mergeCell ref="K63:K65"/>
    <mergeCell ref="L63:L65"/>
    <mergeCell ref="L69:L71"/>
    <mergeCell ref="L57:L59"/>
    <mergeCell ref="K60:K62"/>
    <mergeCell ref="L60:L62"/>
    <mergeCell ref="J57:J59"/>
    <mergeCell ref="K57:K59"/>
    <mergeCell ref="I57:I59"/>
    <mergeCell ref="G72:G74"/>
    <mergeCell ref="H72:H74"/>
    <mergeCell ref="I72:I74"/>
    <mergeCell ref="J72:J74"/>
    <mergeCell ref="G75:G77"/>
    <mergeCell ref="J45:J47"/>
    <mergeCell ref="I60:I62"/>
    <mergeCell ref="J60:J62"/>
    <mergeCell ref="J54:J56"/>
    <mergeCell ref="G48:G50"/>
    <mergeCell ref="H51:H53"/>
    <mergeCell ref="H60:H62"/>
    <mergeCell ref="H57:H59"/>
    <mergeCell ref="I54:I56"/>
    <mergeCell ref="N45:N47"/>
    <mergeCell ref="I48:I50"/>
    <mergeCell ref="J48:J50"/>
    <mergeCell ref="K48:K50"/>
    <mergeCell ref="L48:L50"/>
    <mergeCell ref="M48:M50"/>
    <mergeCell ref="K45:K47"/>
    <mergeCell ref="M51:M53"/>
    <mergeCell ref="J51:J53"/>
    <mergeCell ref="K51:K53"/>
    <mergeCell ref="K54:K56"/>
    <mergeCell ref="L51:L53"/>
    <mergeCell ref="M60:M62"/>
    <mergeCell ref="N60:N62"/>
    <mergeCell ref="M57:M59"/>
    <mergeCell ref="L45:L47"/>
    <mergeCell ref="M54:M56"/>
    <mergeCell ref="L54:L56"/>
    <mergeCell ref="N51:N53"/>
    <mergeCell ref="N48:N50"/>
    <mergeCell ref="M45:M47"/>
    <mergeCell ref="N54:N56"/>
    <mergeCell ref="H48:H50"/>
    <mergeCell ref="H45:H47"/>
    <mergeCell ref="H54:H56"/>
    <mergeCell ref="I45:I47"/>
    <mergeCell ref="I51:I53"/>
    <mergeCell ref="C45:C62"/>
    <mergeCell ref="G29:G31"/>
    <mergeCell ref="D48:D50"/>
    <mergeCell ref="N57:N59"/>
    <mergeCell ref="D29:D31"/>
    <mergeCell ref="D32:D34"/>
    <mergeCell ref="D36:D38"/>
    <mergeCell ref="D39:D41"/>
    <mergeCell ref="D60:D62"/>
    <mergeCell ref="H42:H44"/>
    <mergeCell ref="H39:H41"/>
    <mergeCell ref="I36:I38"/>
    <mergeCell ref="C29:C38"/>
    <mergeCell ref="C39:C44"/>
    <mergeCell ref="G39:G41"/>
    <mergeCell ref="G32:G34"/>
    <mergeCell ref="G36:G38"/>
    <mergeCell ref="D42:D44"/>
    <mergeCell ref="G42:G44"/>
    <mergeCell ref="H36:H38"/>
    <mergeCell ref="K20:K22"/>
    <mergeCell ref="M17:M19"/>
    <mergeCell ref="J36:J38"/>
    <mergeCell ref="K36:K38"/>
    <mergeCell ref="L36:L38"/>
    <mergeCell ref="K23:K25"/>
    <mergeCell ref="M32:M34"/>
    <mergeCell ref="J20:J22"/>
    <mergeCell ref="H29:H31"/>
    <mergeCell ref="M20:M22"/>
    <mergeCell ref="K17:K19"/>
    <mergeCell ref="J23:J25"/>
    <mergeCell ref="L23:L25"/>
    <mergeCell ref="J17:J19"/>
    <mergeCell ref="L20:L22"/>
    <mergeCell ref="I23:I25"/>
    <mergeCell ref="I17:I19"/>
    <mergeCell ref="H20:H22"/>
    <mergeCell ref="I42:I44"/>
    <mergeCell ref="I29:I31"/>
    <mergeCell ref="I39:I41"/>
    <mergeCell ref="J29:J31"/>
    <mergeCell ref="K14:K16"/>
    <mergeCell ref="M14:M16"/>
    <mergeCell ref="J14:J16"/>
    <mergeCell ref="N32:N34"/>
    <mergeCell ref="N23:N25"/>
    <mergeCell ref="M23:M25"/>
    <mergeCell ref="M29:M31"/>
    <mergeCell ref="N20:N22"/>
    <mergeCell ref="L17:L19"/>
    <mergeCell ref="K29:K31"/>
    <mergeCell ref="N14:N16"/>
    <mergeCell ref="N36:N38"/>
    <mergeCell ref="M36:M38"/>
    <mergeCell ref="L29:L31"/>
    <mergeCell ref="N29:N31"/>
    <mergeCell ref="L32:L34"/>
    <mergeCell ref="N17:N19"/>
    <mergeCell ref="L14:L16"/>
    <mergeCell ref="A8:A13"/>
    <mergeCell ref="D14:D16"/>
    <mergeCell ref="C14:C27"/>
    <mergeCell ref="B14:B27"/>
    <mergeCell ref="A14:A27"/>
    <mergeCell ref="D23:D25"/>
    <mergeCell ref="B8:B13"/>
    <mergeCell ref="H23:H25"/>
    <mergeCell ref="G14:G16"/>
    <mergeCell ref="C8:C13"/>
    <mergeCell ref="D17:D19"/>
    <mergeCell ref="D20:D22"/>
    <mergeCell ref="G17:G19"/>
    <mergeCell ref="G20:G22"/>
    <mergeCell ref="G23:G25"/>
    <mergeCell ref="H4:H5"/>
    <mergeCell ref="H14:H16"/>
    <mergeCell ref="I20:I22"/>
    <mergeCell ref="H17:H19"/>
    <mergeCell ref="I14:I16"/>
    <mergeCell ref="H32:H34"/>
    <mergeCell ref="I32:I34"/>
    <mergeCell ref="J32:J34"/>
    <mergeCell ref="K32:K34"/>
    <mergeCell ref="A2:N2"/>
    <mergeCell ref="A7:N7"/>
    <mergeCell ref="D3:D5"/>
    <mergeCell ref="A3:A5"/>
    <mergeCell ref="E3:F4"/>
    <mergeCell ref="B3:B5"/>
    <mergeCell ref="C3:C5"/>
    <mergeCell ref="G3:N3"/>
    <mergeCell ref="G4:G5"/>
    <mergeCell ref="I4:N4"/>
    <mergeCell ref="M42:M44"/>
    <mergeCell ref="N42:N44"/>
    <mergeCell ref="J39:J41"/>
    <mergeCell ref="K39:K41"/>
    <mergeCell ref="J42:J44"/>
    <mergeCell ref="K42:K44"/>
    <mergeCell ref="L42:L44"/>
    <mergeCell ref="L39:L41"/>
    <mergeCell ref="M39:M41"/>
    <mergeCell ref="N39:N41"/>
    <mergeCell ref="A45:A62"/>
    <mergeCell ref="D45:D47"/>
    <mergeCell ref="D57:D59"/>
    <mergeCell ref="G57:G59"/>
    <mergeCell ref="D51:D53"/>
    <mergeCell ref="G54:G56"/>
    <mergeCell ref="G60:G62"/>
    <mergeCell ref="D54:D56"/>
    <mergeCell ref="G45:G47"/>
    <mergeCell ref="B45:B62"/>
    <mergeCell ref="A81:A86"/>
    <mergeCell ref="C87:C92"/>
    <mergeCell ref="G105:G107"/>
    <mergeCell ref="A93:A110"/>
    <mergeCell ref="C81:C86"/>
    <mergeCell ref="A87:A92"/>
    <mergeCell ref="B81:B86"/>
    <mergeCell ref="B87:B92"/>
    <mergeCell ref="D99:D101"/>
    <mergeCell ref="D102:D104"/>
    <mergeCell ref="D96:D98"/>
    <mergeCell ref="G93:G95"/>
    <mergeCell ref="B93:B110"/>
    <mergeCell ref="G96:G98"/>
    <mergeCell ref="D93:D95"/>
    <mergeCell ref="C93:C110"/>
    <mergeCell ref="G108:G110"/>
    <mergeCell ref="G102:G104"/>
    <mergeCell ref="D105:D107"/>
    <mergeCell ref="L96:L98"/>
    <mergeCell ref="I96:I98"/>
    <mergeCell ref="M96:M98"/>
    <mergeCell ref="H93:H95"/>
    <mergeCell ref="H96:H98"/>
    <mergeCell ref="H102:H104"/>
    <mergeCell ref="G99:G101"/>
    <mergeCell ref="M93:M95"/>
    <mergeCell ref="J96:J98"/>
    <mergeCell ref="K96:K98"/>
    <mergeCell ref="I93:I95"/>
    <mergeCell ref="J93:J95"/>
    <mergeCell ref="K93:K95"/>
    <mergeCell ref="L93:L95"/>
    <mergeCell ref="M102:M104"/>
    <mergeCell ref="H99:H101"/>
    <mergeCell ref="I99:I101"/>
    <mergeCell ref="J102:J104"/>
    <mergeCell ref="N96:N98"/>
    <mergeCell ref="K102:K104"/>
    <mergeCell ref="L102:L104"/>
    <mergeCell ref="N102:N104"/>
    <mergeCell ref="L99:L101"/>
    <mergeCell ref="M99:M101"/>
    <mergeCell ref="N99:N101"/>
    <mergeCell ref="N105:N107"/>
    <mergeCell ref="M108:M110"/>
    <mergeCell ref="N108:N110"/>
    <mergeCell ref="K108:K110"/>
    <mergeCell ref="L108:L110"/>
    <mergeCell ref="L105:L107"/>
    <mergeCell ref="M105:M107"/>
    <mergeCell ref="K105:K107"/>
    <mergeCell ref="H105:H107"/>
    <mergeCell ref="H108:H110"/>
    <mergeCell ref="D117:D119"/>
    <mergeCell ref="D120:D122"/>
    <mergeCell ref="G120:G122"/>
    <mergeCell ref="D108:D110"/>
    <mergeCell ref="A111:A126"/>
    <mergeCell ref="G111:G113"/>
    <mergeCell ref="H111:H113"/>
    <mergeCell ref="G114:G116"/>
    <mergeCell ref="H114:H116"/>
    <mergeCell ref="G117:G119"/>
    <mergeCell ref="H117:H119"/>
    <mergeCell ref="D123:D125"/>
    <mergeCell ref="D111:D113"/>
    <mergeCell ref="D114:D116"/>
    <mergeCell ref="I114:I116"/>
    <mergeCell ref="I123:I125"/>
    <mergeCell ref="I120:I122"/>
    <mergeCell ref="M120:M122"/>
    <mergeCell ref="J114:J116"/>
    <mergeCell ref="K114:K116"/>
    <mergeCell ref="I117:I119"/>
    <mergeCell ref="J117:J119"/>
    <mergeCell ref="J120:J122"/>
    <mergeCell ref="N111:N113"/>
    <mergeCell ref="M114:M116"/>
    <mergeCell ref="N114:N116"/>
    <mergeCell ref="L114:L116"/>
    <mergeCell ref="J111:J113"/>
    <mergeCell ref="K111:K113"/>
    <mergeCell ref="L111:L113"/>
    <mergeCell ref="M111:M113"/>
    <mergeCell ref="N123:N125"/>
    <mergeCell ref="K117:K119"/>
    <mergeCell ref="L117:L119"/>
    <mergeCell ref="K120:K122"/>
    <mergeCell ref="L120:L122"/>
    <mergeCell ref="K123:K125"/>
    <mergeCell ref="L123:L125"/>
    <mergeCell ref="M117:M119"/>
    <mergeCell ref="N117:N119"/>
    <mergeCell ref="N120:N122"/>
    <mergeCell ref="I127:I130"/>
    <mergeCell ref="I131:I134"/>
    <mergeCell ref="J131:J134"/>
    <mergeCell ref="M123:M125"/>
    <mergeCell ref="H139:H142"/>
    <mergeCell ref="G135:G138"/>
    <mergeCell ref="H135:H138"/>
    <mergeCell ref="J123:J125"/>
    <mergeCell ref="G131:G134"/>
    <mergeCell ref="H131:H134"/>
    <mergeCell ref="H123:H125"/>
    <mergeCell ref="G123:G125"/>
    <mergeCell ref="G127:G130"/>
    <mergeCell ref="H127:H130"/>
    <mergeCell ref="D127:D130"/>
    <mergeCell ref="D131:D134"/>
    <mergeCell ref="D135:D138"/>
    <mergeCell ref="D139:D142"/>
    <mergeCell ref="M135:M138"/>
    <mergeCell ref="N135:N138"/>
    <mergeCell ref="M131:M134"/>
    <mergeCell ref="L139:L142"/>
    <mergeCell ref="N127:N130"/>
    <mergeCell ref="N131:N134"/>
    <mergeCell ref="K127:K130"/>
    <mergeCell ref="L127:L130"/>
    <mergeCell ref="K131:K134"/>
    <mergeCell ref="M127:M130"/>
    <mergeCell ref="J127:J130"/>
    <mergeCell ref="B185:B186"/>
    <mergeCell ref="M139:M142"/>
    <mergeCell ref="N139:N142"/>
    <mergeCell ref="N143:N146"/>
    <mergeCell ref="G143:G146"/>
    <mergeCell ref="H143:H146"/>
    <mergeCell ref="I143:I146"/>
    <mergeCell ref="J143:J146"/>
    <mergeCell ref="K143:K146"/>
    <mergeCell ref="L143:L146"/>
    <mergeCell ref="M143:M146"/>
    <mergeCell ref="A190:A193"/>
    <mergeCell ref="M147:M150"/>
    <mergeCell ref="C158:C160"/>
    <mergeCell ref="A152:A160"/>
    <mergeCell ref="C162:C164"/>
    <mergeCell ref="C152:C157"/>
    <mergeCell ref="C127:C150"/>
    <mergeCell ref="L147:L150"/>
    <mergeCell ref="L131:L134"/>
    <mergeCell ref="I135:I138"/>
    <mergeCell ref="J135:J138"/>
    <mergeCell ref="K135:K138"/>
    <mergeCell ref="L135:L138"/>
    <mergeCell ref="K139:K142"/>
    <mergeCell ref="C194:C197"/>
    <mergeCell ref="B194:B197"/>
    <mergeCell ref="A194:A197"/>
    <mergeCell ref="K147:K150"/>
    <mergeCell ref="D147:D150"/>
    <mergeCell ref="I139:I142"/>
    <mergeCell ref="J139:J142"/>
    <mergeCell ref="D143:D146"/>
    <mergeCell ref="G139:G142"/>
    <mergeCell ref="B200:B202"/>
    <mergeCell ref="A200:A202"/>
    <mergeCell ref="N147:N150"/>
    <mergeCell ref="G147:G150"/>
    <mergeCell ref="H147:H150"/>
    <mergeCell ref="I147:I150"/>
    <mergeCell ref="J147:J150"/>
    <mergeCell ref="A185:A186"/>
    <mergeCell ref="C187:C189"/>
    <mergeCell ref="B170:B173"/>
    <mergeCell ref="B216:B218"/>
    <mergeCell ref="A216:A218"/>
    <mergeCell ref="C204:C209"/>
    <mergeCell ref="A203:A209"/>
    <mergeCell ref="B203:B209"/>
    <mergeCell ref="A210:A215"/>
    <mergeCell ref="N589:N591"/>
    <mergeCell ref="C190:C193"/>
    <mergeCell ref="C225:C230"/>
    <mergeCell ref="C200:C202"/>
    <mergeCell ref="C210:C215"/>
    <mergeCell ref="A575:N575"/>
    <mergeCell ref="M237:M239"/>
    <mergeCell ref="B576:B580"/>
    <mergeCell ref="A584:A587"/>
    <mergeCell ref="C216:C218"/>
    <mergeCell ref="G589:G591"/>
    <mergeCell ref="I589:I591"/>
    <mergeCell ref="I237:I239"/>
    <mergeCell ref="H240:H242"/>
    <mergeCell ref="G484:G486"/>
    <mergeCell ref="H484:H486"/>
    <mergeCell ref="H487:H489"/>
    <mergeCell ref="I487:I489"/>
    <mergeCell ref="I484:I486"/>
    <mergeCell ref="G333:G335"/>
    <mergeCell ref="I598:I600"/>
    <mergeCell ref="K598:K600"/>
    <mergeCell ref="L598:L600"/>
    <mergeCell ref="G592:G594"/>
    <mergeCell ref="I592:I594"/>
    <mergeCell ref="H592:H594"/>
    <mergeCell ref="L589:L591"/>
    <mergeCell ref="K595:K597"/>
    <mergeCell ref="L592:L594"/>
    <mergeCell ref="J598:J600"/>
    <mergeCell ref="K589:K591"/>
    <mergeCell ref="K592:K594"/>
    <mergeCell ref="L595:L597"/>
    <mergeCell ref="J589:J591"/>
    <mergeCell ref="C608:C610"/>
    <mergeCell ref="N592:N594"/>
    <mergeCell ref="B603:B607"/>
    <mergeCell ref="H598:H600"/>
    <mergeCell ref="H595:H597"/>
    <mergeCell ref="I595:I597"/>
    <mergeCell ref="M592:M594"/>
    <mergeCell ref="J595:J597"/>
    <mergeCell ref="J592:J594"/>
    <mergeCell ref="M595:M597"/>
    <mergeCell ref="C611:C613"/>
    <mergeCell ref="C614:C619"/>
    <mergeCell ref="B614:B619"/>
    <mergeCell ref="B611:B613"/>
    <mergeCell ref="G598:G600"/>
    <mergeCell ref="A603:A607"/>
    <mergeCell ref="B589:B601"/>
    <mergeCell ref="C603:C607"/>
    <mergeCell ref="A589:A601"/>
    <mergeCell ref="D592:D594"/>
    <mergeCell ref="D598:D600"/>
    <mergeCell ref="A602:N602"/>
    <mergeCell ref="M589:M591"/>
    <mergeCell ref="H589:H591"/>
    <mergeCell ref="C620:C625"/>
    <mergeCell ref="C658:C660"/>
    <mergeCell ref="C626:C631"/>
    <mergeCell ref="A638:A643"/>
    <mergeCell ref="B638:B643"/>
    <mergeCell ref="C638:C643"/>
    <mergeCell ref="C655:C657"/>
    <mergeCell ref="B658:B660"/>
    <mergeCell ref="B661:B678"/>
    <mergeCell ref="C644:C649"/>
    <mergeCell ref="A632:A637"/>
    <mergeCell ref="B632:B637"/>
    <mergeCell ref="C632:C637"/>
    <mergeCell ref="B644:B649"/>
    <mergeCell ref="A658:A660"/>
    <mergeCell ref="B655:B657"/>
    <mergeCell ref="A655:A657"/>
    <mergeCell ref="C650:C654"/>
    <mergeCell ref="D670:D672"/>
    <mergeCell ref="C716:C731"/>
    <mergeCell ref="D703:D706"/>
    <mergeCell ref="C661:C663"/>
    <mergeCell ref="C670:C678"/>
    <mergeCell ref="C664:C669"/>
    <mergeCell ref="D673:D675"/>
    <mergeCell ref="D676:D678"/>
    <mergeCell ref="D711:D714"/>
    <mergeCell ref="D679:D681"/>
    <mergeCell ref="H691:H694"/>
    <mergeCell ref="C691:C710"/>
    <mergeCell ref="G685:G687"/>
    <mergeCell ref="D722:D724"/>
    <mergeCell ref="D707:D710"/>
    <mergeCell ref="G703:G706"/>
    <mergeCell ref="H695:H698"/>
    <mergeCell ref="G707:G710"/>
    <mergeCell ref="G691:G694"/>
    <mergeCell ref="G695:G698"/>
    <mergeCell ref="D695:D698"/>
    <mergeCell ref="D699:D702"/>
    <mergeCell ref="D682:D684"/>
    <mergeCell ref="D685:D687"/>
    <mergeCell ref="D691:D694"/>
    <mergeCell ref="I707:I710"/>
    <mergeCell ref="A715:N715"/>
    <mergeCell ref="N716:N718"/>
    <mergeCell ref="M716:M718"/>
    <mergeCell ref="A716:A731"/>
    <mergeCell ref="D728:D730"/>
    <mergeCell ref="D719:D721"/>
    <mergeCell ref="B691:B710"/>
    <mergeCell ref="H699:H702"/>
    <mergeCell ref="I716:I718"/>
    <mergeCell ref="G716:G718"/>
    <mergeCell ref="I711:I714"/>
    <mergeCell ref="H711:H714"/>
    <mergeCell ref="L719:L721"/>
    <mergeCell ref="L716:L718"/>
    <mergeCell ref="J716:J718"/>
    <mergeCell ref="J719:J721"/>
    <mergeCell ref="K716:K718"/>
    <mergeCell ref="H716:H718"/>
    <mergeCell ref="H719:H721"/>
    <mergeCell ref="M719:M721"/>
    <mergeCell ref="K719:K721"/>
    <mergeCell ref="M725:M727"/>
    <mergeCell ref="N722:N724"/>
    <mergeCell ref="M722:M724"/>
    <mergeCell ref="K725:K727"/>
    <mergeCell ref="N719:N721"/>
    <mergeCell ref="K722:K724"/>
    <mergeCell ref="N725:N727"/>
    <mergeCell ref="L725:L727"/>
    <mergeCell ref="C733:C738"/>
    <mergeCell ref="B733:B738"/>
    <mergeCell ref="J728:J730"/>
    <mergeCell ref="H725:H727"/>
    <mergeCell ref="D725:D727"/>
    <mergeCell ref="B716:B731"/>
    <mergeCell ref="G722:G724"/>
    <mergeCell ref="G725:G727"/>
    <mergeCell ref="H722:H724"/>
    <mergeCell ref="G719:G721"/>
    <mergeCell ref="N1311:N1314"/>
    <mergeCell ref="M1315:M1317"/>
    <mergeCell ref="N1315:N1317"/>
    <mergeCell ref="M1311:M1314"/>
    <mergeCell ref="J1282:J1287"/>
    <mergeCell ref="J1234:J1239"/>
    <mergeCell ref="J1246:J1251"/>
    <mergeCell ref="L1315:L1317"/>
    <mergeCell ref="L1311:L1314"/>
    <mergeCell ref="J1311:J1314"/>
    <mergeCell ref="K1315:K1317"/>
    <mergeCell ref="K1311:K1314"/>
    <mergeCell ref="L1258:L1263"/>
    <mergeCell ref="L1240:L1245"/>
    <mergeCell ref="M1318:M1321"/>
    <mergeCell ref="H1322:H1324"/>
    <mergeCell ref="D1318:D1321"/>
    <mergeCell ref="D1322:D1324"/>
    <mergeCell ref="K1318:K1321"/>
    <mergeCell ref="L1318:L1321"/>
    <mergeCell ref="M1322:M1324"/>
    <mergeCell ref="I1318:I1321"/>
    <mergeCell ref="J1318:J1321"/>
    <mergeCell ref="G1322:G1324"/>
    <mergeCell ref="M1329:M1332"/>
    <mergeCell ref="N1329:N1332"/>
    <mergeCell ref="M1325:M1328"/>
    <mergeCell ref="N1325:N1328"/>
    <mergeCell ref="N1322:N1324"/>
    <mergeCell ref="K1325:K1328"/>
    <mergeCell ref="L1325:L1328"/>
    <mergeCell ref="K1322:K1324"/>
    <mergeCell ref="L1322:L1324"/>
    <mergeCell ref="L1333:L1336"/>
    <mergeCell ref="K1329:K1332"/>
    <mergeCell ref="L1329:L1332"/>
    <mergeCell ref="K1337:K1340"/>
    <mergeCell ref="H1026:H1031"/>
    <mergeCell ref="I1032:I1037"/>
    <mergeCell ref="I984:I989"/>
    <mergeCell ref="H1304:H1306"/>
    <mergeCell ref="I1234:I1239"/>
    <mergeCell ref="H1252:H1257"/>
    <mergeCell ref="I1252:I1257"/>
    <mergeCell ref="H1067:H1072"/>
    <mergeCell ref="I1094:I1099"/>
    <mergeCell ref="H1079:H1084"/>
    <mergeCell ref="D1032:D1037"/>
    <mergeCell ref="H1032:H1037"/>
    <mergeCell ref="H1050:H1054"/>
    <mergeCell ref="I1307:I1310"/>
    <mergeCell ref="I1067:I1072"/>
    <mergeCell ref="H1246:H1251"/>
    <mergeCell ref="I1246:I1251"/>
    <mergeCell ref="H1282:H1287"/>
    <mergeCell ref="I1282:I1287"/>
    <mergeCell ref="G1079:G1084"/>
    <mergeCell ref="D1044:D1049"/>
    <mergeCell ref="G972:G977"/>
    <mergeCell ref="G990:G995"/>
    <mergeCell ref="D1002:D1007"/>
    <mergeCell ref="D1008:D1013"/>
    <mergeCell ref="G984:G989"/>
    <mergeCell ref="G1002:G1007"/>
    <mergeCell ref="G1032:G1037"/>
    <mergeCell ref="G1026:G1031"/>
    <mergeCell ref="D1026:D1031"/>
    <mergeCell ref="K930:K935"/>
    <mergeCell ref="G996:G1001"/>
    <mergeCell ref="H996:H1001"/>
    <mergeCell ref="G942:G947"/>
    <mergeCell ref="H960:H965"/>
    <mergeCell ref="I960:I965"/>
    <mergeCell ref="H978:H983"/>
    <mergeCell ref="I978:I983"/>
    <mergeCell ref="J930:J935"/>
    <mergeCell ref="J996:J1001"/>
    <mergeCell ref="G881:G885"/>
    <mergeCell ref="H954:H959"/>
    <mergeCell ref="G936:G941"/>
    <mergeCell ref="H886:H890"/>
    <mergeCell ref="G930:G935"/>
    <mergeCell ref="G886:G890"/>
    <mergeCell ref="G911:G916"/>
    <mergeCell ref="H911:H916"/>
    <mergeCell ref="G954:G959"/>
    <mergeCell ref="H972:H977"/>
    <mergeCell ref="H1300:H1303"/>
    <mergeCell ref="J881:J885"/>
    <mergeCell ref="J936:J941"/>
    <mergeCell ref="J896:J900"/>
    <mergeCell ref="J1055:J1060"/>
    <mergeCell ref="J1026:J1031"/>
    <mergeCell ref="J1038:J1043"/>
    <mergeCell ref="J978:J983"/>
    <mergeCell ref="H984:H989"/>
    <mergeCell ref="J886:J890"/>
    <mergeCell ref="H930:H935"/>
    <mergeCell ref="G966:G971"/>
    <mergeCell ref="H966:H971"/>
    <mergeCell ref="J960:J965"/>
    <mergeCell ref="H948:H953"/>
    <mergeCell ref="I942:I947"/>
    <mergeCell ref="G906:G910"/>
    <mergeCell ref="G960:G965"/>
    <mergeCell ref="G948:G953"/>
    <mergeCell ref="K886:K890"/>
    <mergeCell ref="N862:N867"/>
    <mergeCell ref="N873:N877"/>
    <mergeCell ref="L862:L867"/>
    <mergeCell ref="M862:M867"/>
    <mergeCell ref="M881:M885"/>
    <mergeCell ref="L881:L885"/>
    <mergeCell ref="N881:N885"/>
    <mergeCell ref="M886:M890"/>
    <mergeCell ref="K881:K885"/>
    <mergeCell ref="J873:J877"/>
    <mergeCell ref="K873:K877"/>
    <mergeCell ref="L873:L877"/>
    <mergeCell ref="M868:M872"/>
    <mergeCell ref="M873:M877"/>
    <mergeCell ref="L868:L872"/>
    <mergeCell ref="J868:J872"/>
    <mergeCell ref="K868:K872"/>
    <mergeCell ref="N896:N900"/>
    <mergeCell ref="K891:K895"/>
    <mergeCell ref="L891:L895"/>
    <mergeCell ref="M891:M895"/>
    <mergeCell ref="N891:N895"/>
    <mergeCell ref="K896:K900"/>
    <mergeCell ref="L896:L900"/>
    <mergeCell ref="M896:M900"/>
    <mergeCell ref="L886:L890"/>
    <mergeCell ref="M901:M905"/>
    <mergeCell ref="H906:H910"/>
    <mergeCell ref="N886:N890"/>
    <mergeCell ref="N901:N905"/>
    <mergeCell ref="I901:I905"/>
    <mergeCell ref="J901:J905"/>
    <mergeCell ref="K901:K905"/>
    <mergeCell ref="L901:L905"/>
    <mergeCell ref="N906:N910"/>
    <mergeCell ref="J891:J895"/>
    <mergeCell ref="G896:G900"/>
    <mergeCell ref="H896:H900"/>
    <mergeCell ref="G901:G905"/>
    <mergeCell ref="H901:H905"/>
    <mergeCell ref="I896:I900"/>
    <mergeCell ref="G891:G895"/>
    <mergeCell ref="H891:H895"/>
    <mergeCell ref="I891:I895"/>
    <mergeCell ref="I911:I916"/>
    <mergeCell ref="M906:M910"/>
    <mergeCell ref="L906:L910"/>
    <mergeCell ref="I906:I910"/>
    <mergeCell ref="J906:J910"/>
    <mergeCell ref="K906:K910"/>
    <mergeCell ref="K911:K916"/>
    <mergeCell ref="J911:J916"/>
    <mergeCell ref="L911:L916"/>
    <mergeCell ref="M911:M916"/>
    <mergeCell ref="N911:N916"/>
    <mergeCell ref="N1333:N1336"/>
    <mergeCell ref="G917:G922"/>
    <mergeCell ref="H917:H922"/>
    <mergeCell ref="I917:I922"/>
    <mergeCell ref="J917:J922"/>
    <mergeCell ref="L917:L922"/>
    <mergeCell ref="M917:M922"/>
    <mergeCell ref="N917:N922"/>
    <mergeCell ref="K917:K922"/>
    <mergeCell ref="K990:K995"/>
    <mergeCell ref="L990:L995"/>
    <mergeCell ref="H1341:H1344"/>
    <mergeCell ref="I1341:I1344"/>
    <mergeCell ref="I1228:I1233"/>
    <mergeCell ref="J1228:J1233"/>
    <mergeCell ref="K1246:K1251"/>
    <mergeCell ref="L1246:L1251"/>
    <mergeCell ref="L1252:L1257"/>
    <mergeCell ref="J1020:J1025"/>
    <mergeCell ref="J1399:J1403"/>
    <mergeCell ref="L1008:L1013"/>
    <mergeCell ref="K1020:K1025"/>
    <mergeCell ref="I1008:I1013"/>
    <mergeCell ref="I1026:I1031"/>
    <mergeCell ref="I1014:I1019"/>
    <mergeCell ref="I1020:I1025"/>
    <mergeCell ref="J1044:J1049"/>
    <mergeCell ref="I1050:I1054"/>
    <mergeCell ref="L1193:L1198"/>
    <mergeCell ref="N1808:N1810"/>
    <mergeCell ref="N1805:N1807"/>
    <mergeCell ref="A1537:N1537"/>
    <mergeCell ref="J1469:J1472"/>
    <mergeCell ref="J1513:J1518"/>
    <mergeCell ref="J1507:J1512"/>
    <mergeCell ref="G1519:G1524"/>
    <mergeCell ref="G1493:G1496"/>
    <mergeCell ref="H1481:H1484"/>
    <mergeCell ref="I1525:I1530"/>
    <mergeCell ref="J924:J929"/>
    <mergeCell ref="K924:K929"/>
    <mergeCell ref="L924:L929"/>
    <mergeCell ref="M924:M929"/>
    <mergeCell ref="N942:N947"/>
    <mergeCell ref="H942:H947"/>
    <mergeCell ref="M936:M941"/>
    <mergeCell ref="H936:H941"/>
    <mergeCell ref="N936:N941"/>
    <mergeCell ref="K936:K941"/>
    <mergeCell ref="L936:L941"/>
    <mergeCell ref="I936:I941"/>
    <mergeCell ref="K942:K947"/>
    <mergeCell ref="K978:K983"/>
    <mergeCell ref="L978:L983"/>
    <mergeCell ref="K960:K965"/>
    <mergeCell ref="L960:L965"/>
    <mergeCell ref="K972:K977"/>
    <mergeCell ref="L972:L977"/>
    <mergeCell ref="K966:K971"/>
    <mergeCell ref="L966:L971"/>
    <mergeCell ref="N972:N977"/>
    <mergeCell ref="M972:M977"/>
    <mergeCell ref="N990:N995"/>
    <mergeCell ref="M984:M989"/>
    <mergeCell ref="N984:N989"/>
    <mergeCell ref="N978:N983"/>
    <mergeCell ref="M978:M983"/>
    <mergeCell ref="M990:M995"/>
    <mergeCell ref="K984:K989"/>
    <mergeCell ref="L984:L989"/>
    <mergeCell ref="J990:J995"/>
    <mergeCell ref="N1002:N1007"/>
    <mergeCell ref="K996:K1001"/>
    <mergeCell ref="L996:L1001"/>
    <mergeCell ref="M996:M1001"/>
    <mergeCell ref="N996:N1001"/>
    <mergeCell ref="L1002:L1007"/>
    <mergeCell ref="K1002:K1007"/>
    <mergeCell ref="K1014:K1019"/>
    <mergeCell ref="M1020:M1025"/>
    <mergeCell ref="K1008:K1013"/>
    <mergeCell ref="J1032:J1037"/>
    <mergeCell ref="J1014:J1019"/>
    <mergeCell ref="L1020:L1025"/>
    <mergeCell ref="L1032:L1037"/>
    <mergeCell ref="H1014:H1019"/>
    <mergeCell ref="M1002:M1007"/>
    <mergeCell ref="H1008:H1013"/>
    <mergeCell ref="G1014:G1019"/>
    <mergeCell ref="G1008:G1013"/>
    <mergeCell ref="J1008:J1013"/>
    <mergeCell ref="J1002:J1007"/>
    <mergeCell ref="I1002:I1007"/>
    <mergeCell ref="L1014:L1019"/>
    <mergeCell ref="M1008:M1013"/>
    <mergeCell ref="N1008:N1013"/>
    <mergeCell ref="N1014:N1019"/>
    <mergeCell ref="M1014:M1019"/>
    <mergeCell ref="N1020:N1025"/>
    <mergeCell ref="G1020:G1025"/>
    <mergeCell ref="H1020:H1025"/>
    <mergeCell ref="D1038:D1043"/>
    <mergeCell ref="N1032:N1037"/>
    <mergeCell ref="K1026:K1031"/>
    <mergeCell ref="K1032:K1037"/>
    <mergeCell ref="N1038:N1043"/>
    <mergeCell ref="L1026:L1031"/>
    <mergeCell ref="M1026:M1031"/>
    <mergeCell ref="N1026:N1031"/>
    <mergeCell ref="M1032:M1037"/>
    <mergeCell ref="D1222:D1227"/>
    <mergeCell ref="M1044:M1049"/>
    <mergeCell ref="M1222:M1227"/>
    <mergeCell ref="G1044:G1049"/>
    <mergeCell ref="H1044:H1049"/>
    <mergeCell ref="H1193:H1198"/>
    <mergeCell ref="G1193:G1198"/>
    <mergeCell ref="G1038:G1043"/>
    <mergeCell ref="D1050:D1054"/>
    <mergeCell ref="N1044:N1049"/>
    <mergeCell ref="I1044:I1049"/>
    <mergeCell ref="G1050:G1054"/>
    <mergeCell ref="M1038:M1043"/>
    <mergeCell ref="L1038:L1043"/>
    <mergeCell ref="K1050:K1054"/>
    <mergeCell ref="K1038:K1043"/>
    <mergeCell ref="N1193:N1198"/>
    <mergeCell ref="I1061:I1066"/>
    <mergeCell ref="N1050:N1054"/>
    <mergeCell ref="K1044:K1049"/>
    <mergeCell ref="L1050:L1054"/>
    <mergeCell ref="M1193:M1198"/>
    <mergeCell ref="I1193:I1198"/>
    <mergeCell ref="J1193:J1198"/>
    <mergeCell ref="K1193:K1198"/>
    <mergeCell ref="M1050:M1054"/>
    <mergeCell ref="D1228:D1233"/>
    <mergeCell ref="D1234:D1239"/>
    <mergeCell ref="L1044:L1049"/>
    <mergeCell ref="D1073:D1078"/>
    <mergeCell ref="G1222:G1227"/>
    <mergeCell ref="H1222:H1227"/>
    <mergeCell ref="H1234:H1239"/>
    <mergeCell ref="I1222:I1227"/>
    <mergeCell ref="G1228:G1233"/>
    <mergeCell ref="H1228:H1233"/>
    <mergeCell ref="D1246:D1251"/>
    <mergeCell ref="D1252:D1257"/>
    <mergeCell ref="K1222:K1227"/>
    <mergeCell ref="L1222:L1227"/>
    <mergeCell ref="K1228:K1233"/>
    <mergeCell ref="L1228:L1233"/>
    <mergeCell ref="K1234:K1239"/>
    <mergeCell ref="L1234:L1239"/>
    <mergeCell ref="D1240:D1245"/>
    <mergeCell ref="J1222:J1227"/>
    <mergeCell ref="H1240:H1245"/>
    <mergeCell ref="I1240:I1245"/>
    <mergeCell ref="J1240:J1245"/>
    <mergeCell ref="N1246:N1251"/>
    <mergeCell ref="M1240:M1245"/>
    <mergeCell ref="N1240:N1245"/>
    <mergeCell ref="K1240:K1245"/>
    <mergeCell ref="J1258:J1263"/>
    <mergeCell ref="K1258:K1263"/>
    <mergeCell ref="J1270:J1275"/>
    <mergeCell ref="I1270:I1275"/>
    <mergeCell ref="K1270:K1275"/>
    <mergeCell ref="I1264:I1269"/>
    <mergeCell ref="J1264:J1269"/>
    <mergeCell ref="K1264:K1269"/>
    <mergeCell ref="I1276:I1281"/>
    <mergeCell ref="D1258:D1263"/>
    <mergeCell ref="D1264:D1269"/>
    <mergeCell ref="G1258:G1263"/>
    <mergeCell ref="H1258:H1263"/>
    <mergeCell ref="D1270:D1275"/>
    <mergeCell ref="D1276:D1281"/>
    <mergeCell ref="I1258:I1263"/>
    <mergeCell ref="G1264:G1269"/>
    <mergeCell ref="H1264:H1269"/>
    <mergeCell ref="L1264:L1269"/>
    <mergeCell ref="M1258:M1263"/>
    <mergeCell ref="M1264:M1269"/>
    <mergeCell ref="N1264:N1269"/>
    <mergeCell ref="N1341:N1344"/>
    <mergeCell ref="N1270:N1275"/>
    <mergeCell ref="K1276:K1281"/>
    <mergeCell ref="L1276:L1281"/>
    <mergeCell ref="M1276:M1281"/>
    <mergeCell ref="L1270:L1275"/>
    <mergeCell ref="M1337:M1340"/>
    <mergeCell ref="N1337:N1340"/>
    <mergeCell ref="M1333:M1336"/>
    <mergeCell ref="N1276:N1281"/>
    <mergeCell ref="K1288:K1293"/>
    <mergeCell ref="L1282:L1287"/>
    <mergeCell ref="M1282:M1287"/>
    <mergeCell ref="K1282:K1287"/>
    <mergeCell ref="D1288:D1293"/>
    <mergeCell ref="G1288:G1293"/>
    <mergeCell ref="H1288:H1293"/>
    <mergeCell ref="D1337:D1340"/>
    <mergeCell ref="D1315:D1317"/>
    <mergeCell ref="D1311:D1314"/>
    <mergeCell ref="G1311:G1314"/>
    <mergeCell ref="H1318:H1321"/>
    <mergeCell ref="H1337:H1340"/>
    <mergeCell ref="G1295:G1299"/>
    <mergeCell ref="I1288:I1293"/>
    <mergeCell ref="M1341:M1344"/>
    <mergeCell ref="J1288:J1293"/>
    <mergeCell ref="L1288:L1293"/>
    <mergeCell ref="M1288:M1293"/>
    <mergeCell ref="K1341:K1344"/>
    <mergeCell ref="L1341:L1344"/>
    <mergeCell ref="I1322:I1324"/>
    <mergeCell ref="L1337:L1340"/>
    <mergeCell ref="K1333:K1336"/>
    <mergeCell ref="A1348:A1350"/>
    <mergeCell ref="B1348:B1350"/>
    <mergeCell ref="C1348:C1350"/>
    <mergeCell ref="D1348:D1350"/>
    <mergeCell ref="N1355:N1358"/>
    <mergeCell ref="M1348:M1350"/>
    <mergeCell ref="G1345:G1347"/>
    <mergeCell ref="L1345:L1347"/>
    <mergeCell ref="M1345:M1347"/>
    <mergeCell ref="N1348:N1350"/>
    <mergeCell ref="K1351:K1354"/>
    <mergeCell ref="L1351:L1354"/>
    <mergeCell ref="M1351:M1354"/>
    <mergeCell ref="K1345:K1347"/>
    <mergeCell ref="N1351:N1354"/>
    <mergeCell ref="K1348:K1350"/>
    <mergeCell ref="L1348:L1350"/>
    <mergeCell ref="N1345:N1347"/>
    <mergeCell ref="D1363:D1366"/>
    <mergeCell ref="L1359:L1362"/>
    <mergeCell ref="J1351:J1354"/>
    <mergeCell ref="D1355:D1358"/>
    <mergeCell ref="D1359:D1362"/>
    <mergeCell ref="I1355:I1358"/>
    <mergeCell ref="J1355:J1358"/>
    <mergeCell ref="K1355:K1358"/>
    <mergeCell ref="L1355:L1358"/>
    <mergeCell ref="K1363:K1366"/>
    <mergeCell ref="M1355:M1358"/>
    <mergeCell ref="J1359:J1362"/>
    <mergeCell ref="K1359:K1362"/>
    <mergeCell ref="D1351:D1354"/>
    <mergeCell ref="G1351:G1354"/>
    <mergeCell ref="G1355:G1358"/>
    <mergeCell ref="H1355:H1358"/>
    <mergeCell ref="G1359:G1362"/>
    <mergeCell ref="H1359:H1362"/>
    <mergeCell ref="G1348:G1350"/>
    <mergeCell ref="H1351:H1354"/>
    <mergeCell ref="I1351:I1354"/>
    <mergeCell ref="N1367:N1370"/>
    <mergeCell ref="N1359:N1362"/>
    <mergeCell ref="G1363:G1366"/>
    <mergeCell ref="H1363:H1366"/>
    <mergeCell ref="I1363:I1366"/>
    <mergeCell ref="J1363:J1366"/>
    <mergeCell ref="N1363:N1366"/>
    <mergeCell ref="L1363:L1366"/>
    <mergeCell ref="M1363:M1366"/>
    <mergeCell ref="M1359:M1362"/>
    <mergeCell ref="D1367:D1370"/>
    <mergeCell ref="G1367:G1370"/>
    <mergeCell ref="H1367:H1370"/>
    <mergeCell ref="I1367:I1370"/>
    <mergeCell ref="J1367:J1370"/>
    <mergeCell ref="K1367:K1370"/>
    <mergeCell ref="L1367:L1370"/>
    <mergeCell ref="M1367:M1370"/>
    <mergeCell ref="M1375:M1378"/>
    <mergeCell ref="K1375:K1378"/>
    <mergeCell ref="G1375:G1378"/>
    <mergeCell ref="H1375:H1378"/>
    <mergeCell ref="I1375:I1378"/>
    <mergeCell ref="G1371:G1374"/>
    <mergeCell ref="H1371:H1374"/>
    <mergeCell ref="I1371:I1374"/>
    <mergeCell ref="D1375:D1378"/>
    <mergeCell ref="N1375:N1378"/>
    <mergeCell ref="J1375:J1378"/>
    <mergeCell ref="K1371:K1374"/>
    <mergeCell ref="L1371:L1374"/>
    <mergeCell ref="M1371:M1374"/>
    <mergeCell ref="J1371:J1374"/>
    <mergeCell ref="L1375:L1378"/>
    <mergeCell ref="N1371:N1374"/>
    <mergeCell ref="D1371:D1374"/>
    <mergeCell ref="M1379:M1383"/>
    <mergeCell ref="N1379:N1383"/>
    <mergeCell ref="G1379:G1383"/>
    <mergeCell ref="H1379:H1383"/>
    <mergeCell ref="I1379:I1383"/>
    <mergeCell ref="J1379:J1383"/>
    <mergeCell ref="L1379:L1383"/>
    <mergeCell ref="K1379:K1383"/>
    <mergeCell ref="N1384:N1388"/>
    <mergeCell ref="G1384:G1388"/>
    <mergeCell ref="H1384:H1388"/>
    <mergeCell ref="I1384:I1388"/>
    <mergeCell ref="J1384:J1388"/>
    <mergeCell ref="K1384:K1388"/>
    <mergeCell ref="L1384:L1388"/>
    <mergeCell ref="M1384:M1388"/>
    <mergeCell ref="K1394:K1398"/>
    <mergeCell ref="H1389:H1393"/>
    <mergeCell ref="I1389:I1393"/>
    <mergeCell ref="J1389:J1393"/>
    <mergeCell ref="K1389:K1393"/>
    <mergeCell ref="I1394:I1398"/>
    <mergeCell ref="J1394:J1398"/>
    <mergeCell ref="K1399:K1403"/>
    <mergeCell ref="N1389:N1393"/>
    <mergeCell ref="N1394:N1398"/>
    <mergeCell ref="M1399:M1403"/>
    <mergeCell ref="N1399:N1403"/>
    <mergeCell ref="M1394:M1398"/>
    <mergeCell ref="L1394:L1398"/>
    <mergeCell ref="L1399:L1403"/>
    <mergeCell ref="M1389:M1393"/>
    <mergeCell ref="L1389:L1393"/>
    <mergeCell ref="H1404:H1408"/>
    <mergeCell ref="H1394:H1398"/>
    <mergeCell ref="K1409:K1412"/>
    <mergeCell ref="N1409:N1412"/>
    <mergeCell ref="M1404:M1408"/>
    <mergeCell ref="N1404:N1408"/>
    <mergeCell ref="L1404:L1408"/>
    <mergeCell ref="L1409:L1412"/>
    <mergeCell ref="M1409:M1412"/>
    <mergeCell ref="K1404:K1408"/>
    <mergeCell ref="D1424:D1427"/>
    <mergeCell ref="G1420:G1423"/>
    <mergeCell ref="G1424:G1427"/>
    <mergeCell ref="G1394:G1398"/>
    <mergeCell ref="D1420:D1423"/>
    <mergeCell ref="G1399:G1403"/>
    <mergeCell ref="D1404:D1408"/>
    <mergeCell ref="G1404:G1408"/>
    <mergeCell ref="H1409:H1412"/>
    <mergeCell ref="G1409:G1412"/>
    <mergeCell ref="D1379:D1383"/>
    <mergeCell ref="D1399:D1403"/>
    <mergeCell ref="D1384:D1388"/>
    <mergeCell ref="D1389:D1393"/>
    <mergeCell ref="D1394:D1398"/>
    <mergeCell ref="D1409:D1412"/>
    <mergeCell ref="G1389:G1393"/>
    <mergeCell ref="H1399:H1403"/>
    <mergeCell ref="D1428:D1431"/>
    <mergeCell ref="H1413:H1416"/>
    <mergeCell ref="H1417:H1419"/>
    <mergeCell ref="G1428:G1431"/>
    <mergeCell ref="D1413:D1416"/>
    <mergeCell ref="D1417:D1419"/>
    <mergeCell ref="G1413:G1416"/>
    <mergeCell ref="G1417:G1419"/>
    <mergeCell ref="H1428:H1431"/>
    <mergeCell ref="H1424:H1427"/>
    <mergeCell ref="M1413:M1416"/>
    <mergeCell ref="N1413:N1416"/>
    <mergeCell ref="K1413:K1416"/>
    <mergeCell ref="L1413:L1416"/>
    <mergeCell ref="N1420:N1423"/>
    <mergeCell ref="M1417:M1419"/>
    <mergeCell ref="N1417:N1419"/>
    <mergeCell ref="M1420:M1423"/>
    <mergeCell ref="K1417:K1419"/>
    <mergeCell ref="L1417:L1419"/>
    <mergeCell ref="H1420:H1423"/>
    <mergeCell ref="I1420:I1423"/>
    <mergeCell ref="J1420:J1423"/>
    <mergeCell ref="K1420:K1423"/>
    <mergeCell ref="L1420:L1423"/>
    <mergeCell ref="N1424:N1427"/>
    <mergeCell ref="L1424:L1427"/>
    <mergeCell ref="M1424:M1427"/>
    <mergeCell ref="K1424:K1427"/>
    <mergeCell ref="I1424:I1427"/>
    <mergeCell ref="J1428:J1431"/>
    <mergeCell ref="J1424:J1427"/>
    <mergeCell ref="L1432:L1435"/>
    <mergeCell ref="K1428:K1431"/>
    <mergeCell ref="J1432:J1435"/>
    <mergeCell ref="K1432:K1435"/>
    <mergeCell ref="M1432:M1435"/>
    <mergeCell ref="N1432:N1435"/>
    <mergeCell ref="L1428:L1431"/>
    <mergeCell ref="M1428:M1431"/>
    <mergeCell ref="N1428:N1431"/>
    <mergeCell ref="D1531:D1536"/>
    <mergeCell ref="G1432:G1435"/>
    <mergeCell ref="H1432:H1435"/>
    <mergeCell ref="I1432:I1435"/>
    <mergeCell ref="G1453:G1456"/>
    <mergeCell ref="H1453:H1456"/>
    <mergeCell ref="D1513:D1518"/>
    <mergeCell ref="H1447:H1450"/>
    <mergeCell ref="D1447:D1450"/>
    <mergeCell ref="G1447:G1450"/>
    <mergeCell ref="K1442:K1445"/>
    <mergeCell ref="D1442:D1445"/>
    <mergeCell ref="G1442:G1445"/>
    <mergeCell ref="H1442:H1445"/>
    <mergeCell ref="I1442:I1445"/>
    <mergeCell ref="D1432:D1435"/>
    <mergeCell ref="K1447:K1450"/>
    <mergeCell ref="J1542:J1545"/>
    <mergeCell ref="K1542:K1545"/>
    <mergeCell ref="I1542:I1545"/>
    <mergeCell ref="I1538:I1541"/>
    <mergeCell ref="J1538:J1541"/>
    <mergeCell ref="K1538:K1541"/>
    <mergeCell ref="J1531:J1536"/>
    <mergeCell ref="G1538:G1541"/>
    <mergeCell ref="L1542:L1545"/>
    <mergeCell ref="L1554:L1557"/>
    <mergeCell ref="H1558:H1561"/>
    <mergeCell ref="H1554:H1557"/>
    <mergeCell ref="I1554:I1557"/>
    <mergeCell ref="J1554:J1557"/>
    <mergeCell ref="J1558:J1561"/>
    <mergeCell ref="L1550:L1553"/>
    <mergeCell ref="M1542:M1545"/>
    <mergeCell ref="H1550:H1553"/>
    <mergeCell ref="I1550:I1553"/>
    <mergeCell ref="J1550:J1553"/>
    <mergeCell ref="L1546:L1549"/>
    <mergeCell ref="M1546:M1549"/>
    <mergeCell ref="I1546:I1549"/>
    <mergeCell ref="K1546:K1549"/>
    <mergeCell ref="K1550:K1553"/>
    <mergeCell ref="N1546:N1549"/>
    <mergeCell ref="N1558:N1561"/>
    <mergeCell ref="M1582:M1585"/>
    <mergeCell ref="M1574:M1577"/>
    <mergeCell ref="M1554:M1557"/>
    <mergeCell ref="M1570:M1573"/>
    <mergeCell ref="M1566:M1569"/>
    <mergeCell ref="L1558:L1561"/>
    <mergeCell ref="K1570:K1573"/>
    <mergeCell ref="L1574:L1577"/>
    <mergeCell ref="L1566:L1569"/>
    <mergeCell ref="L1570:L1573"/>
    <mergeCell ref="L1562:L1565"/>
    <mergeCell ref="L1606:L1609"/>
    <mergeCell ref="M1628:M1633"/>
    <mergeCell ref="N1736:N1738"/>
    <mergeCell ref="K1586:K1589"/>
    <mergeCell ref="L1586:L1589"/>
    <mergeCell ref="K1590:K1593"/>
    <mergeCell ref="L1590:L1593"/>
    <mergeCell ref="M1586:M1589"/>
    <mergeCell ref="M1590:M1593"/>
    <mergeCell ref="N1590:N1593"/>
    <mergeCell ref="N1574:N1577"/>
    <mergeCell ref="M1736:M1738"/>
    <mergeCell ref="M1739:M1741"/>
    <mergeCell ref="L1736:L1738"/>
    <mergeCell ref="L1582:L1585"/>
    <mergeCell ref="N1578:N1581"/>
    <mergeCell ref="M1578:M1581"/>
    <mergeCell ref="N1733:N1735"/>
    <mergeCell ref="L1598:L1601"/>
    <mergeCell ref="L1578:L1581"/>
    <mergeCell ref="N1582:N1585"/>
    <mergeCell ref="N1742:N1744"/>
    <mergeCell ref="J1742:J1744"/>
    <mergeCell ref="L1742:L1744"/>
    <mergeCell ref="M1742:M1744"/>
    <mergeCell ref="J1590:J1593"/>
    <mergeCell ref="J1594:J1597"/>
    <mergeCell ref="N1739:N1741"/>
    <mergeCell ref="K1598:K1601"/>
    <mergeCell ref="M1598:M1601"/>
    <mergeCell ref="M1745:M1747"/>
    <mergeCell ref="K1790:K1792"/>
    <mergeCell ref="K1755:K1760"/>
    <mergeCell ref="K1784:K1786"/>
    <mergeCell ref="M1767:M1771"/>
    <mergeCell ref="L1778:L1783"/>
    <mergeCell ref="M1778:M1783"/>
    <mergeCell ref="L1772:L1777"/>
    <mergeCell ref="K1778:K1783"/>
    <mergeCell ref="K1772:K1777"/>
    <mergeCell ref="N1784:N1786"/>
    <mergeCell ref="L1784:L1786"/>
    <mergeCell ref="N1745:N1747"/>
    <mergeCell ref="N1749:N1754"/>
    <mergeCell ref="M1755:M1760"/>
    <mergeCell ref="L1755:L1760"/>
    <mergeCell ref="N1755:N1760"/>
    <mergeCell ref="N1767:N1771"/>
    <mergeCell ref="N1772:N1777"/>
    <mergeCell ref="N1778:N1783"/>
    <mergeCell ref="N1799:N1801"/>
    <mergeCell ref="L1921:L1923"/>
    <mergeCell ref="M1921:M1923"/>
    <mergeCell ref="L1799:L1801"/>
    <mergeCell ref="L1832:L1836"/>
    <mergeCell ref="M1832:M1836"/>
    <mergeCell ref="L1805:L1807"/>
    <mergeCell ref="N1802:N1804"/>
    <mergeCell ref="L1808:L1810"/>
    <mergeCell ref="M1799:M1801"/>
    <mergeCell ref="N1796:N1798"/>
    <mergeCell ref="L1796:L1798"/>
    <mergeCell ref="L1790:L1792"/>
    <mergeCell ref="L1787:L1789"/>
    <mergeCell ref="N1793:N1795"/>
    <mergeCell ref="M1793:M1795"/>
    <mergeCell ref="L1793:L1795"/>
    <mergeCell ref="N1790:N1792"/>
    <mergeCell ref="N1787:N1789"/>
    <mergeCell ref="M1796:M1798"/>
    <mergeCell ref="C1375:C1378"/>
    <mergeCell ref="B1375:B1378"/>
    <mergeCell ref="C1413:C1431"/>
    <mergeCell ref="C1432:C1435"/>
    <mergeCell ref="B1432:B1435"/>
    <mergeCell ref="C1409:C1412"/>
    <mergeCell ref="C1379:C1408"/>
    <mergeCell ref="B1379:B1408"/>
    <mergeCell ref="B1413:B1431"/>
    <mergeCell ref="D1718:D1722"/>
    <mergeCell ref="D1733:D1735"/>
    <mergeCell ref="D1723:D1727"/>
    <mergeCell ref="J1628:J1633"/>
    <mergeCell ref="D1634:D1639"/>
    <mergeCell ref="H1628:H1633"/>
    <mergeCell ref="D1687:D1690"/>
    <mergeCell ref="D1628:D1633"/>
    <mergeCell ref="D1640:D1645"/>
    <mergeCell ref="G1708:G1712"/>
    <mergeCell ref="C1501:C1536"/>
    <mergeCell ref="G1513:G1518"/>
    <mergeCell ref="I1602:I1605"/>
    <mergeCell ref="D1525:D1530"/>
    <mergeCell ref="G1570:G1573"/>
    <mergeCell ref="G1554:G1557"/>
    <mergeCell ref="D1558:D1561"/>
    <mergeCell ref="H1602:H1605"/>
    <mergeCell ref="D1519:D1524"/>
    <mergeCell ref="G1598:G1601"/>
    <mergeCell ref="D1622:D1627"/>
    <mergeCell ref="I1586:I1589"/>
    <mergeCell ref="D1546:D1549"/>
    <mergeCell ref="G1546:G1549"/>
    <mergeCell ref="D1606:D1609"/>
    <mergeCell ref="G1602:G1605"/>
    <mergeCell ref="D1610:D1615"/>
    <mergeCell ref="G1606:G1609"/>
    <mergeCell ref="D1616:D1621"/>
    <mergeCell ref="G1550:G1553"/>
    <mergeCell ref="A1436:A1441"/>
    <mergeCell ref="B1477:B1480"/>
    <mergeCell ref="A1477:A1480"/>
    <mergeCell ref="C1453:C1476"/>
    <mergeCell ref="C1477:C1480"/>
    <mergeCell ref="A1453:A1476"/>
    <mergeCell ref="B1453:B1476"/>
    <mergeCell ref="C1442:C1451"/>
    <mergeCell ref="B1442:B1451"/>
    <mergeCell ref="B39:B44"/>
    <mergeCell ref="A292:A297"/>
    <mergeCell ref="A298:A303"/>
    <mergeCell ref="B428:B429"/>
    <mergeCell ref="A413:A418"/>
    <mergeCell ref="B127:B150"/>
    <mergeCell ref="A127:A150"/>
    <mergeCell ref="A187:A189"/>
    <mergeCell ref="A161:A164"/>
    <mergeCell ref="A262:A267"/>
    <mergeCell ref="B29:B38"/>
    <mergeCell ref="A29:A38"/>
    <mergeCell ref="A39:A44"/>
    <mergeCell ref="A182:A184"/>
    <mergeCell ref="B182:B184"/>
    <mergeCell ref="A179:A181"/>
    <mergeCell ref="A174:A178"/>
    <mergeCell ref="B161:B164"/>
    <mergeCell ref="B111:B126"/>
    <mergeCell ref="A170:A173"/>
    <mergeCell ref="A384:A386"/>
    <mergeCell ref="B384:B386"/>
    <mergeCell ref="A356:A359"/>
    <mergeCell ref="A280:A285"/>
    <mergeCell ref="B280:B285"/>
    <mergeCell ref="A349:A352"/>
    <mergeCell ref="A372:A377"/>
    <mergeCell ref="B372:B377"/>
    <mergeCell ref="A322:A325"/>
    <mergeCell ref="A333:A340"/>
    <mergeCell ref="A378:A383"/>
    <mergeCell ref="B210:B215"/>
    <mergeCell ref="B187:B189"/>
    <mergeCell ref="A237:A248"/>
    <mergeCell ref="A249:N249"/>
    <mergeCell ref="L243:L245"/>
    <mergeCell ref="L240:L242"/>
    <mergeCell ref="J237:J239"/>
    <mergeCell ref="J243:J245"/>
    <mergeCell ref="C237:C248"/>
    <mergeCell ref="K243:K245"/>
    <mergeCell ref="I243:I245"/>
    <mergeCell ref="C231:C236"/>
    <mergeCell ref="B219:B236"/>
    <mergeCell ref="D237:D239"/>
    <mergeCell ref="D240:D242"/>
    <mergeCell ref="D243:D245"/>
    <mergeCell ref="A219:A236"/>
    <mergeCell ref="A274:A279"/>
    <mergeCell ref="C274:C279"/>
    <mergeCell ref="C219:C224"/>
    <mergeCell ref="A268:A273"/>
    <mergeCell ref="B262:B267"/>
    <mergeCell ref="C262:C267"/>
    <mergeCell ref="B268:B273"/>
    <mergeCell ref="B274:B279"/>
    <mergeCell ref="B256:B261"/>
    <mergeCell ref="A620:A625"/>
    <mergeCell ref="B620:B625"/>
    <mergeCell ref="A614:A619"/>
    <mergeCell ref="B608:B610"/>
    <mergeCell ref="A608:A610"/>
    <mergeCell ref="B650:B654"/>
    <mergeCell ref="A626:A631"/>
    <mergeCell ref="B626:B631"/>
    <mergeCell ref="A644:A649"/>
    <mergeCell ref="L930:L935"/>
    <mergeCell ref="M930:M935"/>
    <mergeCell ref="N930:N935"/>
    <mergeCell ref="G862:G867"/>
    <mergeCell ref="G868:G872"/>
    <mergeCell ref="G873:G877"/>
    <mergeCell ref="N924:N929"/>
    <mergeCell ref="G924:G929"/>
    <mergeCell ref="H924:H929"/>
    <mergeCell ref="I924:I929"/>
    <mergeCell ref="G728:G730"/>
    <mergeCell ref="H728:H730"/>
    <mergeCell ref="I728:I730"/>
    <mergeCell ref="L728:L730"/>
    <mergeCell ref="C936:C941"/>
    <mergeCell ref="D948:D953"/>
    <mergeCell ref="D1020:D1025"/>
    <mergeCell ref="D996:D1001"/>
    <mergeCell ref="D978:D983"/>
    <mergeCell ref="D984:D989"/>
    <mergeCell ref="D966:D971"/>
    <mergeCell ref="D972:D977"/>
    <mergeCell ref="D1014:D1019"/>
    <mergeCell ref="D990:D995"/>
    <mergeCell ref="A1091:A1093"/>
    <mergeCell ref="A978:A1007"/>
    <mergeCell ref="A1061:A1090"/>
    <mergeCell ref="C1014:C1049"/>
    <mergeCell ref="A1014:A1049"/>
    <mergeCell ref="B1050:B1054"/>
    <mergeCell ref="C1050:C1054"/>
    <mergeCell ref="A1050:A1054"/>
    <mergeCell ref="C1055:C1060"/>
    <mergeCell ref="B978:B983"/>
    <mergeCell ref="C1351:C1362"/>
    <mergeCell ref="B1436:B1441"/>
    <mergeCell ref="A1130:A1165"/>
    <mergeCell ref="B1094:B1111"/>
    <mergeCell ref="A1094:A1111"/>
    <mergeCell ref="B1166:B1180"/>
    <mergeCell ref="A1166:A1180"/>
    <mergeCell ref="A1375:A1378"/>
    <mergeCell ref="A1201:A1221"/>
    <mergeCell ref="C1436:C1441"/>
    <mergeCell ref="B1562:B1585"/>
    <mergeCell ref="A1562:A1585"/>
    <mergeCell ref="B1538:B1561"/>
    <mergeCell ref="B1481:B1500"/>
    <mergeCell ref="C2250:C2261"/>
    <mergeCell ref="B2271:B2273"/>
    <mergeCell ref="B2274:B2285"/>
    <mergeCell ref="B2242:B2245"/>
    <mergeCell ref="C2242:C2245"/>
    <mergeCell ref="B2246:B2249"/>
    <mergeCell ref="C2246:C2249"/>
    <mergeCell ref="B1988:B2011"/>
    <mergeCell ref="B1935:B1951"/>
    <mergeCell ref="B1679:B1694"/>
    <mergeCell ref="B2239:B2241"/>
    <mergeCell ref="C2239:C2241"/>
    <mergeCell ref="C2049:C2054"/>
    <mergeCell ref="C2059:C2064"/>
    <mergeCell ref="C2055:C2058"/>
    <mergeCell ref="C1784:C1801"/>
    <mergeCell ref="B2049:B2054"/>
    <mergeCell ref="A2344:A2379"/>
    <mergeCell ref="B2344:B2379"/>
    <mergeCell ref="C2344:C2379"/>
    <mergeCell ref="C2172:C2175"/>
    <mergeCell ref="C2188:C2211"/>
    <mergeCell ref="B2188:B2211"/>
    <mergeCell ref="A2213:A2222"/>
    <mergeCell ref="A2223:A2238"/>
    <mergeCell ref="C2274:C2285"/>
    <mergeCell ref="D2250:D2252"/>
    <mergeCell ref="D2122:D2126"/>
    <mergeCell ref="B1695:B1702"/>
    <mergeCell ref="C1703:C1748"/>
    <mergeCell ref="C2065:C2074"/>
    <mergeCell ref="B2012:B2047"/>
    <mergeCell ref="B2095:B2101"/>
    <mergeCell ref="B1855:B1858"/>
    <mergeCell ref="B2065:B2074"/>
    <mergeCell ref="B2059:B2064"/>
    <mergeCell ref="D2335:D2337"/>
    <mergeCell ref="D2280:D2282"/>
    <mergeCell ref="D2256:D2258"/>
    <mergeCell ref="D2259:D2261"/>
    <mergeCell ref="D2286:D2289"/>
    <mergeCell ref="D2290:D2293"/>
    <mergeCell ref="D2294:D2297"/>
    <mergeCell ref="D2277:D2279"/>
    <mergeCell ref="D2274:D2276"/>
    <mergeCell ref="L1863:L1866"/>
    <mergeCell ref="M1863:M1866"/>
    <mergeCell ref="M1924:M1926"/>
    <mergeCell ref="N1924:N1926"/>
    <mergeCell ref="N1881:N1884"/>
    <mergeCell ref="L1873:L1876"/>
    <mergeCell ref="N1863:N1866"/>
    <mergeCell ref="M1873:M1876"/>
    <mergeCell ref="N1873:N1876"/>
    <mergeCell ref="N1877:N1880"/>
    <mergeCell ref="B761:B763"/>
    <mergeCell ref="A749:A760"/>
    <mergeCell ref="A761:A763"/>
    <mergeCell ref="A661:A678"/>
    <mergeCell ref="A733:A738"/>
    <mergeCell ref="A739:N739"/>
    <mergeCell ref="G749:G751"/>
    <mergeCell ref="A740:N740"/>
    <mergeCell ref="J725:J727"/>
    <mergeCell ref="N728:N730"/>
    <mergeCell ref="D930:D935"/>
    <mergeCell ref="G844:G849"/>
    <mergeCell ref="J1602:J1605"/>
    <mergeCell ref="J1574:J1577"/>
    <mergeCell ref="J1586:J1589"/>
    <mergeCell ref="D1550:D1553"/>
    <mergeCell ref="D1554:D1557"/>
    <mergeCell ref="D954:D959"/>
    <mergeCell ref="D942:D947"/>
    <mergeCell ref="J1570:J1573"/>
    <mergeCell ref="K1594:K1597"/>
    <mergeCell ref="K1582:K1585"/>
    <mergeCell ref="J1582:J1585"/>
    <mergeCell ref="G978:G983"/>
    <mergeCell ref="K1578:K1581"/>
    <mergeCell ref="K1574:K1577"/>
    <mergeCell ref="K1558:K1561"/>
    <mergeCell ref="J1546:J1549"/>
    <mergeCell ref="H1546:H1549"/>
    <mergeCell ref="K1554:K1557"/>
    <mergeCell ref="C1647:C1694"/>
    <mergeCell ref="C1855:C1858"/>
    <mergeCell ref="C2012:C2047"/>
    <mergeCell ref="G1796:G1798"/>
    <mergeCell ref="G1745:G1747"/>
    <mergeCell ref="G1647:G1652"/>
    <mergeCell ref="C1749:C1783"/>
    <mergeCell ref="G1787:G1789"/>
    <mergeCell ref="G1863:G1866"/>
    <mergeCell ref="D1695:D1698"/>
    <mergeCell ref="C1562:C1585"/>
    <mergeCell ref="G1558:G1561"/>
    <mergeCell ref="C2223:C2238"/>
    <mergeCell ref="B2213:B2222"/>
    <mergeCell ref="B2166:B2171"/>
    <mergeCell ref="C2166:C2171"/>
    <mergeCell ref="C2213:C2222"/>
    <mergeCell ref="D2131:D2134"/>
    <mergeCell ref="D2141:D2146"/>
    <mergeCell ref="G2135:G2140"/>
    <mergeCell ref="D2160:D2165"/>
    <mergeCell ref="D2135:D2140"/>
    <mergeCell ref="D2176:D2181"/>
    <mergeCell ref="D2231:D2234"/>
    <mergeCell ref="D2206:D2211"/>
    <mergeCell ref="D2182:D2187"/>
    <mergeCell ref="D2188:D2193"/>
    <mergeCell ref="D2194:D2199"/>
    <mergeCell ref="D2213:D2217"/>
    <mergeCell ref="D2200:D2205"/>
    <mergeCell ref="A1749:A1801"/>
    <mergeCell ref="B1749:B1783"/>
    <mergeCell ref="B814:B823"/>
    <mergeCell ref="A1432:A1435"/>
    <mergeCell ref="A1409:A1412"/>
    <mergeCell ref="A1586:A1609"/>
    <mergeCell ref="A1481:A1500"/>
    <mergeCell ref="B1501:B1536"/>
    <mergeCell ref="A1501:A1536"/>
    <mergeCell ref="A1538:A1561"/>
    <mergeCell ref="C1538:C1561"/>
    <mergeCell ref="A881:A905"/>
    <mergeCell ref="A911:A941"/>
    <mergeCell ref="A862:A880"/>
    <mergeCell ref="C1181:C1184"/>
    <mergeCell ref="C1258:C1281"/>
    <mergeCell ref="C1295:C1317"/>
    <mergeCell ref="A1295:A1317"/>
    <mergeCell ref="A1345:A1347"/>
    <mergeCell ref="A1055:A1060"/>
    <mergeCell ref="B794:B813"/>
    <mergeCell ref="B1647:B1663"/>
    <mergeCell ref="B1664:B1665"/>
    <mergeCell ref="B1666:B1678"/>
    <mergeCell ref="B1586:B1609"/>
    <mergeCell ref="B1014:B1019"/>
    <mergeCell ref="B942:B947"/>
    <mergeCell ref="B1351:B1354"/>
    <mergeCell ref="B1295:B1299"/>
    <mergeCell ref="B1318:B1320"/>
    <mergeCell ref="A764:A793"/>
    <mergeCell ref="A1647:A1694"/>
    <mergeCell ref="B1733:B1748"/>
    <mergeCell ref="B1703:B1732"/>
    <mergeCell ref="A794:A813"/>
    <mergeCell ref="A814:A823"/>
    <mergeCell ref="A1413:A1431"/>
    <mergeCell ref="B1409:B1412"/>
    <mergeCell ref="A1379:A1408"/>
    <mergeCell ref="A1258:A1281"/>
    <mergeCell ref="K1:N1"/>
    <mergeCell ref="A388:A391"/>
    <mergeCell ref="A691:A710"/>
    <mergeCell ref="A576:A580"/>
    <mergeCell ref="A461:A469"/>
    <mergeCell ref="A507:A509"/>
    <mergeCell ref="C280:C285"/>
    <mergeCell ref="B446:B454"/>
    <mergeCell ref="B413:B418"/>
    <mergeCell ref="A650:A654"/>
  </mergeCells>
  <printOptions horizontalCentered="1"/>
  <pageMargins left="0.7874015748031497" right="0.7874015748031497" top="1.1811023622047245" bottom="0.5905511811023623" header="1.1811023622047245" footer="0.5905511811023623"/>
  <pageSetup horizontalDpi="600" verticalDpi="600" orientation="landscape" paperSize="9" scale="78" r:id="rId1"/>
  <rowBreaks count="53" manualBreakCount="53">
    <brk id="38" max="255" man="1"/>
    <brk id="80" min="2" max="13" man="1"/>
    <brk id="126" min="2" max="13" man="1"/>
    <brk id="167" max="255" man="1"/>
    <brk id="198" max="255" man="1"/>
    <brk id="236" max="255" man="1"/>
    <brk id="279" max="255" man="1"/>
    <brk id="364" max="255" man="1"/>
    <brk id="401" max="255" man="1"/>
    <brk id="427" max="255" man="1"/>
    <brk id="460" max="255" man="1"/>
    <brk id="503" max="255" man="1"/>
    <brk id="540" max="13" man="1"/>
    <brk id="562" max="255" man="1"/>
    <brk id="582" max="255" man="1"/>
    <brk id="625" max="255" man="1"/>
    <brk id="660" max="255" man="1"/>
    <brk id="710" max="255" man="1"/>
    <brk id="760" max="255" man="1"/>
    <brk id="813" max="255" man="1"/>
    <brk id="855" max="255" man="1"/>
    <brk id="905" max="255" man="1"/>
    <brk id="953" max="255" man="1"/>
    <brk id="1007" max="255" man="1"/>
    <brk id="1060" max="255" man="1"/>
    <brk id="1111" max="255" man="1"/>
    <brk id="1165" max="255" man="1"/>
    <brk id="1200" max="255" man="1"/>
    <brk id="1227" max="255" man="1"/>
    <brk id="1281" max="255" man="1"/>
    <brk id="1332" max="255" man="1"/>
    <brk id="1378" max="255" man="1"/>
    <brk id="1431" max="255" man="1"/>
    <brk id="1480" max="255" man="1"/>
    <brk id="1536" max="255" man="1"/>
    <brk id="1585" max="255" man="1"/>
    <brk id="1639" max="255" man="1"/>
    <brk id="1694" max="255" man="1"/>
    <brk id="1748" max="255" man="1"/>
    <brk id="1801" max="255" man="1"/>
    <brk id="1854" max="255" man="1"/>
    <brk id="1870" max="13" man="1"/>
    <brk id="1907" max="255" man="1"/>
    <brk id="1963" max="13" man="1"/>
    <brk id="2011" max="255" man="1"/>
    <brk id="2058" max="255" man="1"/>
    <brk id="2106" max="255" man="1"/>
    <brk id="2121" max="255" man="1"/>
    <brk id="2171" max="255" man="1"/>
    <brk id="2222" max="255" man="1"/>
    <brk id="2273" max="255" man="1"/>
    <brk id="2319" max="255" man="1"/>
    <brk id="2373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Доценко</dc:creator>
  <cp:keywords/>
  <dc:description/>
  <cp:lastModifiedBy>user28</cp:lastModifiedBy>
  <cp:lastPrinted>2012-10-22T11:46:28Z</cp:lastPrinted>
  <dcterms:created xsi:type="dcterms:W3CDTF">2006-03-17T07:38:16Z</dcterms:created>
  <dcterms:modified xsi:type="dcterms:W3CDTF">2012-10-24T06:58:42Z</dcterms:modified>
  <cp:category/>
  <cp:version/>
  <cp:contentType/>
  <cp:contentStatus/>
</cp:coreProperties>
</file>